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00014971\Desktop\USFC 2023\"/>
    </mc:Choice>
  </mc:AlternateContent>
  <bookViews>
    <workbookView xWindow="0" yWindow="0" windowWidth="28800" windowHeight="12000"/>
  </bookViews>
  <sheets>
    <sheet name="tomato" sheetId="5" r:id="rId1"/>
    <sheet name="Garlic" sheetId="4" r:id="rId2"/>
    <sheet name="labor" sheetId="3" r:id="rId3"/>
    <sheet name="Initial Start up costs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4" l="1"/>
  <c r="D23" i="4" s="1"/>
  <c r="B20" i="4"/>
  <c r="E3" i="2"/>
  <c r="E4" i="2" s="1"/>
  <c r="I7" i="5"/>
  <c r="H7" i="5"/>
  <c r="I8" i="4"/>
  <c r="H8" i="4"/>
  <c r="H14" i="4"/>
  <c r="I22" i="5"/>
  <c r="B19" i="5"/>
  <c r="G33" i="5"/>
  <c r="H33" i="5" s="1"/>
  <c r="D33" i="5"/>
  <c r="E33" i="5" s="1"/>
  <c r="G39" i="5"/>
  <c r="F39" i="5"/>
  <c r="C32" i="5"/>
  <c r="D32" i="5" s="1"/>
  <c r="C31" i="5"/>
  <c r="D31" i="5" s="1"/>
  <c r="C30" i="5"/>
  <c r="D30" i="5" s="1"/>
  <c r="C29" i="5"/>
  <c r="D29" i="5" s="1"/>
  <c r="C28" i="5"/>
  <c r="D27" i="5"/>
  <c r="G27" i="5" s="1"/>
  <c r="C27" i="5"/>
  <c r="D22" i="5"/>
  <c r="F22" i="5" s="1"/>
  <c r="E21" i="5"/>
  <c r="H21" i="5" s="1"/>
  <c r="D21" i="5"/>
  <c r="G21" i="5" s="1"/>
  <c r="C20" i="5"/>
  <c r="D20" i="5" s="1"/>
  <c r="G20" i="5" s="1"/>
  <c r="B20" i="5"/>
  <c r="C17" i="5"/>
  <c r="D17" i="5" s="1"/>
  <c r="C16" i="5"/>
  <c r="D16" i="5" s="1"/>
  <c r="G13" i="5"/>
  <c r="F13" i="5"/>
  <c r="I13" i="5" s="1"/>
  <c r="E13" i="5"/>
  <c r="H13" i="5" s="1"/>
  <c r="C12" i="5"/>
  <c r="D12" i="5" s="1"/>
  <c r="F12" i="5" s="1"/>
  <c r="I12" i="5" s="1"/>
  <c r="D9" i="5"/>
  <c r="F8" i="5"/>
  <c r="F9" i="5" s="1"/>
  <c r="E8" i="5"/>
  <c r="E9" i="5" s="1"/>
  <c r="B3" i="5"/>
  <c r="C18" i="5" s="1"/>
  <c r="D18" i="5" s="1"/>
  <c r="B2" i="5"/>
  <c r="C15" i="5" s="1"/>
  <c r="D15" i="5" s="1"/>
  <c r="G32" i="4"/>
  <c r="G34" i="4"/>
  <c r="G14" i="4"/>
  <c r="F34" i="4"/>
  <c r="I34" i="4" s="1"/>
  <c r="E34" i="4"/>
  <c r="H34" i="4" s="1"/>
  <c r="C33" i="4"/>
  <c r="D33" i="4" s="1"/>
  <c r="G33" i="4" s="1"/>
  <c r="C32" i="4"/>
  <c r="D32" i="4" s="1"/>
  <c r="C31" i="4"/>
  <c r="D31" i="4" s="1"/>
  <c r="C30" i="4"/>
  <c r="D30" i="4" s="1"/>
  <c r="G30" i="4" s="1"/>
  <c r="C29" i="4"/>
  <c r="D29" i="4" s="1"/>
  <c r="G29" i="4" s="1"/>
  <c r="C28" i="4"/>
  <c r="D28" i="4" s="1"/>
  <c r="G28" i="4" s="1"/>
  <c r="D22" i="4"/>
  <c r="E22" i="4" s="1"/>
  <c r="H22" i="4" s="1"/>
  <c r="F14" i="4"/>
  <c r="I14" i="4" s="1"/>
  <c r="E14" i="4"/>
  <c r="C13" i="4"/>
  <c r="D10" i="4"/>
  <c r="F9" i="4"/>
  <c r="G9" i="4" s="1"/>
  <c r="H9" i="4" s="1"/>
  <c r="I9" i="4" s="1"/>
  <c r="E9" i="4"/>
  <c r="E10" i="4" s="1"/>
  <c r="B3" i="4"/>
  <c r="H40" i="4" s="1"/>
  <c r="B2" i="4"/>
  <c r="C15" i="4" s="1"/>
  <c r="F32" i="5" l="1"/>
  <c r="I32" i="5" s="1"/>
  <c r="G32" i="5"/>
  <c r="E32" i="5"/>
  <c r="H32" i="5" s="1"/>
  <c r="E29" i="5"/>
  <c r="H29" i="5" s="1"/>
  <c r="G29" i="5"/>
  <c r="F29" i="5"/>
  <c r="I29" i="5" s="1"/>
  <c r="G17" i="5"/>
  <c r="F17" i="5"/>
  <c r="I17" i="5" s="1"/>
  <c r="E17" i="5"/>
  <c r="H17" i="5" s="1"/>
  <c r="I33" i="5"/>
  <c r="F27" i="5"/>
  <c r="I27" i="5" s="1"/>
  <c r="F21" i="5"/>
  <c r="I21" i="5" s="1"/>
  <c r="C34" i="5"/>
  <c r="C19" i="5"/>
  <c r="D19" i="5" s="1"/>
  <c r="F19" i="5" s="1"/>
  <c r="I19" i="5" s="1"/>
  <c r="E27" i="5"/>
  <c r="H27" i="5" s="1"/>
  <c r="I39" i="5"/>
  <c r="H9" i="5"/>
  <c r="C14" i="5"/>
  <c r="D14" i="5" s="1"/>
  <c r="G14" i="5" s="1"/>
  <c r="H39" i="5"/>
  <c r="C18" i="4"/>
  <c r="D18" i="4" s="1"/>
  <c r="G18" i="4" s="1"/>
  <c r="F31" i="4"/>
  <c r="I31" i="4" s="1"/>
  <c r="G31" i="4"/>
  <c r="H10" i="4"/>
  <c r="H41" i="4" s="1"/>
  <c r="I10" i="4"/>
  <c r="C17" i="4"/>
  <c r="D17" i="4" s="1"/>
  <c r="G17" i="4" s="1"/>
  <c r="I40" i="4"/>
  <c r="F22" i="4"/>
  <c r="I22" i="4" s="1"/>
  <c r="F10" i="4"/>
  <c r="G22" i="4"/>
  <c r="E23" i="4"/>
  <c r="H23" i="4" s="1"/>
  <c r="G23" i="4"/>
  <c r="F23" i="4"/>
  <c r="I23" i="4" s="1"/>
  <c r="I40" i="5"/>
  <c r="F33" i="5"/>
  <c r="F40" i="5"/>
  <c r="E30" i="5"/>
  <c r="H30" i="5" s="1"/>
  <c r="G30" i="5"/>
  <c r="F30" i="5"/>
  <c r="I30" i="5" s="1"/>
  <c r="G19" i="5"/>
  <c r="G15" i="5"/>
  <c r="F15" i="5"/>
  <c r="I15" i="5" s="1"/>
  <c r="E15" i="5"/>
  <c r="H15" i="5" s="1"/>
  <c r="G31" i="5"/>
  <c r="E31" i="5"/>
  <c r="H31" i="5" s="1"/>
  <c r="F31" i="5"/>
  <c r="I31" i="5" s="1"/>
  <c r="G16" i="5"/>
  <c r="F16" i="5"/>
  <c r="I16" i="5" s="1"/>
  <c r="E16" i="5"/>
  <c r="H16" i="5" s="1"/>
  <c r="E18" i="5"/>
  <c r="H18" i="5" s="1"/>
  <c r="G18" i="5"/>
  <c r="F18" i="5"/>
  <c r="I18" i="5" s="1"/>
  <c r="I23" i="5" s="1"/>
  <c r="I41" i="5" s="1"/>
  <c r="I42" i="5" s="1"/>
  <c r="E14" i="5"/>
  <c r="H14" i="5" s="1"/>
  <c r="G8" i="5"/>
  <c r="H8" i="5" s="1"/>
  <c r="I8" i="5" s="1"/>
  <c r="I9" i="5" s="1"/>
  <c r="F20" i="5"/>
  <c r="I20" i="5" s="1"/>
  <c r="D39" i="5"/>
  <c r="D40" i="5" s="1"/>
  <c r="E12" i="5"/>
  <c r="E39" i="5"/>
  <c r="E40" i="5" s="1"/>
  <c r="F14" i="5"/>
  <c r="I14" i="5" s="1"/>
  <c r="G12" i="5"/>
  <c r="G22" i="5"/>
  <c r="E20" i="5"/>
  <c r="H20" i="5" s="1"/>
  <c r="E22" i="5"/>
  <c r="H22" i="5" s="1"/>
  <c r="D28" i="5"/>
  <c r="G10" i="4"/>
  <c r="F30" i="4"/>
  <c r="I30" i="4" s="1"/>
  <c r="E30" i="4"/>
  <c r="H30" i="4" s="1"/>
  <c r="C21" i="4"/>
  <c r="D21" i="4" s="1"/>
  <c r="G21" i="4" s="1"/>
  <c r="C16" i="4"/>
  <c r="D16" i="4" s="1"/>
  <c r="C20" i="4"/>
  <c r="F32" i="4"/>
  <c r="I32" i="4" s="1"/>
  <c r="E32" i="4"/>
  <c r="H32" i="4" s="1"/>
  <c r="D15" i="4"/>
  <c r="G15" i="4" s="1"/>
  <c r="F28" i="4"/>
  <c r="I28" i="4" s="1"/>
  <c r="E28" i="4"/>
  <c r="H28" i="4" s="1"/>
  <c r="D35" i="4"/>
  <c r="F29" i="4"/>
  <c r="I29" i="4" s="1"/>
  <c r="E29" i="4"/>
  <c r="H29" i="4" s="1"/>
  <c r="E33" i="4"/>
  <c r="H33" i="4" s="1"/>
  <c r="F33" i="4"/>
  <c r="I33" i="4" s="1"/>
  <c r="E40" i="4"/>
  <c r="E41" i="4" s="1"/>
  <c r="D40" i="4"/>
  <c r="D41" i="4" s="1"/>
  <c r="C19" i="4"/>
  <c r="G40" i="4"/>
  <c r="F40" i="4"/>
  <c r="C35" i="4"/>
  <c r="D13" i="4"/>
  <c r="G13" i="4" s="1"/>
  <c r="E31" i="4"/>
  <c r="H31" i="4" s="1"/>
  <c r="C6" i="2"/>
  <c r="C5" i="2"/>
  <c r="C3" i="2"/>
  <c r="C2" i="2"/>
  <c r="H40" i="5" l="1"/>
  <c r="E19" i="5"/>
  <c r="H19" i="5" s="1"/>
  <c r="E23" i="5"/>
  <c r="H12" i="5"/>
  <c r="H23" i="5" s="1"/>
  <c r="D23" i="5"/>
  <c r="D41" i="5" s="1"/>
  <c r="D42" i="5" s="1"/>
  <c r="I24" i="5"/>
  <c r="I41" i="4"/>
  <c r="I35" i="4"/>
  <c r="I44" i="4" s="1"/>
  <c r="G41" i="4"/>
  <c r="F16" i="4"/>
  <c r="I16" i="4" s="1"/>
  <c r="G16" i="4"/>
  <c r="H35" i="4"/>
  <c r="H44" i="4" s="1"/>
  <c r="F41" i="4"/>
  <c r="E16" i="4"/>
  <c r="H16" i="4" s="1"/>
  <c r="F23" i="5"/>
  <c r="F41" i="5" s="1"/>
  <c r="F42" i="5" s="1"/>
  <c r="G28" i="5"/>
  <c r="F28" i="5"/>
  <c r="E28" i="5"/>
  <c r="D34" i="5"/>
  <c r="D43" i="5" s="1"/>
  <c r="G23" i="5"/>
  <c r="G41" i="5" s="1"/>
  <c r="G9" i="5"/>
  <c r="D20" i="4"/>
  <c r="G20" i="4" s="1"/>
  <c r="D44" i="4"/>
  <c r="G35" i="4"/>
  <c r="G44" i="4" s="1"/>
  <c r="F15" i="4"/>
  <c r="I15" i="4" s="1"/>
  <c r="E15" i="4"/>
  <c r="H15" i="4" s="1"/>
  <c r="E17" i="4"/>
  <c r="H17" i="4" s="1"/>
  <c r="F17" i="4"/>
  <c r="I17" i="4" s="1"/>
  <c r="F35" i="4"/>
  <c r="F44" i="4" s="1"/>
  <c r="E35" i="4"/>
  <c r="E44" i="4" s="1"/>
  <c r="F18" i="4"/>
  <c r="I18" i="4" s="1"/>
  <c r="E18" i="4"/>
  <c r="H18" i="4" s="1"/>
  <c r="D19" i="4"/>
  <c r="G19" i="4" s="1"/>
  <c r="G24" i="4" s="1"/>
  <c r="G42" i="4" s="1"/>
  <c r="G43" i="4" s="1"/>
  <c r="G45" i="4" s="1"/>
  <c r="F13" i="4"/>
  <c r="I13" i="4" s="1"/>
  <c r="E13" i="4"/>
  <c r="H13" i="4" s="1"/>
  <c r="F21" i="4"/>
  <c r="I21" i="4" s="1"/>
  <c r="E21" i="4"/>
  <c r="H21" i="4" s="1"/>
  <c r="J4" i="2"/>
  <c r="H4" i="2"/>
  <c r="H9" i="2" s="1"/>
  <c r="B27" i="2"/>
  <c r="D27" i="2" s="1"/>
  <c r="B68" i="2"/>
  <c r="D67" i="2"/>
  <c r="D66" i="2"/>
  <c r="D65" i="2"/>
  <c r="D64" i="2"/>
  <c r="D63" i="2"/>
  <c r="D68" i="2" s="1"/>
  <c r="B59" i="2"/>
  <c r="D57" i="2"/>
  <c r="D58" i="2"/>
  <c r="D56" i="2"/>
  <c r="D59" i="2" s="1"/>
  <c r="B52" i="2"/>
  <c r="D49" i="2"/>
  <c r="D50" i="2"/>
  <c r="D51" i="2"/>
  <c r="D48" i="2"/>
  <c r="D42" i="2"/>
  <c r="E16" i="3"/>
  <c r="D16" i="3"/>
  <c r="C16" i="3"/>
  <c r="B16" i="3"/>
  <c r="D14" i="3"/>
  <c r="C14" i="3"/>
  <c r="B14" i="3"/>
  <c r="D10" i="3"/>
  <c r="D11" i="3" s="1"/>
  <c r="D15" i="3" s="1"/>
  <c r="D17" i="3" s="1"/>
  <c r="C10" i="3"/>
  <c r="C11" i="3" s="1"/>
  <c r="C15" i="3" s="1"/>
  <c r="C17" i="3" s="1"/>
  <c r="B10" i="3"/>
  <c r="B11" i="3" s="1"/>
  <c r="B44" i="2"/>
  <c r="D35" i="2"/>
  <c r="D36" i="2"/>
  <c r="D37" i="2"/>
  <c r="D38" i="2"/>
  <c r="D39" i="2"/>
  <c r="D40" i="2"/>
  <c r="D41" i="2"/>
  <c r="D43" i="2"/>
  <c r="D34" i="2"/>
  <c r="B30" i="2"/>
  <c r="D28" i="2"/>
  <c r="D29" i="2"/>
  <c r="D26" i="2"/>
  <c r="J8" i="2"/>
  <c r="J7" i="2"/>
  <c r="J6" i="2"/>
  <c r="J5" i="2"/>
  <c r="J3" i="2"/>
  <c r="B22" i="2"/>
  <c r="D19" i="2"/>
  <c r="D20" i="2"/>
  <c r="D21" i="2"/>
  <c r="D18" i="2"/>
  <c r="B7" i="2"/>
  <c r="B4" i="2"/>
  <c r="B14" i="2"/>
  <c r="D12" i="2"/>
  <c r="D13" i="2"/>
  <c r="D11" i="2"/>
  <c r="D24" i="5" l="1"/>
  <c r="D35" i="5" s="1"/>
  <c r="H24" i="5"/>
  <c r="H35" i="5" s="1"/>
  <c r="H41" i="5"/>
  <c r="F34" i="5"/>
  <c r="F43" i="5" s="1"/>
  <c r="I28" i="5"/>
  <c r="I34" i="5" s="1"/>
  <c r="I43" i="5" s="1"/>
  <c r="I44" i="5" s="1"/>
  <c r="E34" i="5"/>
  <c r="E43" i="5" s="1"/>
  <c r="H28" i="5"/>
  <c r="H34" i="5" s="1"/>
  <c r="H43" i="5" s="1"/>
  <c r="F44" i="5"/>
  <c r="E41" i="5"/>
  <c r="E42" i="5" s="1"/>
  <c r="E24" i="5"/>
  <c r="E35" i="5" s="1"/>
  <c r="H42" i="5"/>
  <c r="F24" i="5"/>
  <c r="G40" i="5"/>
  <c r="G42" i="5" s="1"/>
  <c r="G24" i="5"/>
  <c r="D44" i="5"/>
  <c r="F35" i="5"/>
  <c r="G25" i="4"/>
  <c r="G36" i="4" s="1"/>
  <c r="F20" i="4"/>
  <c r="I20" i="4" s="1"/>
  <c r="E20" i="4"/>
  <c r="H20" i="4" s="1"/>
  <c r="F19" i="4"/>
  <c r="E19" i="4"/>
  <c r="D24" i="4"/>
  <c r="D52" i="2"/>
  <c r="D22" i="2"/>
  <c r="D30" i="2"/>
  <c r="D44" i="2"/>
  <c r="B8" i="2"/>
  <c r="D60" i="2" s="1"/>
  <c r="B60" i="2"/>
  <c r="J9" i="2"/>
  <c r="J10" i="2" s="1"/>
  <c r="E11" i="3"/>
  <c r="B15" i="3"/>
  <c r="D14" i="2"/>
  <c r="E44" i="5" l="1"/>
  <c r="I35" i="5"/>
  <c r="H44" i="5"/>
  <c r="F24" i="4"/>
  <c r="F42" i="4" s="1"/>
  <c r="F43" i="4" s="1"/>
  <c r="F45" i="4" s="1"/>
  <c r="I19" i="4"/>
  <c r="I24" i="4" s="1"/>
  <c r="E24" i="4"/>
  <c r="E42" i="4" s="1"/>
  <c r="E43" i="4" s="1"/>
  <c r="E45" i="4" s="1"/>
  <c r="H19" i="4"/>
  <c r="H24" i="4" s="1"/>
  <c r="E25" i="4"/>
  <c r="E36" i="4" s="1"/>
  <c r="D25" i="4"/>
  <c r="D36" i="4" s="1"/>
  <c r="D42" i="4"/>
  <c r="D43" i="4" s="1"/>
  <c r="D45" i="4" s="1"/>
  <c r="B31" i="2"/>
  <c r="D15" i="2"/>
  <c r="B15" i="2"/>
  <c r="B45" i="2"/>
  <c r="H10" i="2"/>
  <c r="D45" i="2"/>
  <c r="B53" i="2"/>
  <c r="D53" i="2"/>
  <c r="D23" i="2"/>
  <c r="B23" i="2"/>
  <c r="D31" i="2"/>
  <c r="E15" i="3"/>
  <c r="E17" i="3" s="1"/>
  <c r="B17" i="3"/>
  <c r="H25" i="4" l="1"/>
  <c r="H36" i="4" s="1"/>
  <c r="H42" i="4"/>
  <c r="H43" i="4" s="1"/>
  <c r="H45" i="4" s="1"/>
  <c r="F25" i="4"/>
  <c r="F36" i="4" s="1"/>
  <c r="I42" i="4"/>
  <c r="I43" i="4" s="1"/>
  <c r="I45" i="4" s="1"/>
  <c r="I25" i="4"/>
  <c r="I36" i="4" s="1"/>
  <c r="G34" i="5" l="1"/>
  <c r="G35" i="5" s="1"/>
  <c r="G43" i="5" l="1"/>
  <c r="G44" i="5" s="1"/>
</calcChain>
</file>

<file path=xl/sharedStrings.xml><?xml version="1.0" encoding="utf-8"?>
<sst xmlns="http://schemas.openxmlformats.org/spreadsheetml/2006/main" count="229" uniqueCount="131">
  <si>
    <t>Total</t>
  </si>
  <si>
    <t>Inflation adjust</t>
  </si>
  <si>
    <t>Price</t>
  </si>
  <si>
    <t>Pounds</t>
  </si>
  <si>
    <t>Revenue</t>
  </si>
  <si>
    <t>Garlic</t>
  </si>
  <si>
    <t>Budget for 60 square feet</t>
  </si>
  <si>
    <t>Expenses</t>
  </si>
  <si>
    <t>Based on CPI sept 2017 to Sept. 22</t>
  </si>
  <si>
    <t>Based on CPI sept 2016 to Sept. 22</t>
  </si>
  <si>
    <t>Irrigation Water</t>
  </si>
  <si>
    <t>Farm</t>
  </si>
  <si>
    <t>Single crop</t>
  </si>
  <si>
    <t>Percent farm each crop</t>
  </si>
  <si>
    <t>Compost Bins</t>
  </si>
  <si>
    <t>Screws and Stakes</t>
  </si>
  <si>
    <t>Pallets</t>
  </si>
  <si>
    <t>Spading fork</t>
  </si>
  <si>
    <t>Years</t>
  </si>
  <si>
    <t>cost per year</t>
  </si>
  <si>
    <t xml:space="preserve">Total garden area </t>
  </si>
  <si>
    <t>Vegetable sq. ft</t>
  </si>
  <si>
    <t>Percent Vegetable</t>
  </si>
  <si>
    <t xml:space="preserve">Vegetable growing space </t>
  </si>
  <si>
    <t>Single crop space</t>
  </si>
  <si>
    <t>Single crop percent of veg</t>
  </si>
  <si>
    <t>Single Veg crop Percent of total</t>
  </si>
  <si>
    <t>Whole garden</t>
  </si>
  <si>
    <t>Single veg crop</t>
  </si>
  <si>
    <t xml:space="preserve">Total </t>
  </si>
  <si>
    <t>Cold Frame</t>
  </si>
  <si>
    <t>Screws</t>
  </si>
  <si>
    <t>Chain</t>
  </si>
  <si>
    <t>Acrylic sheets (x3) and handles (x3)</t>
  </si>
  <si>
    <t xml:space="preserve">Lumber </t>
  </si>
  <si>
    <t>Fencing</t>
  </si>
  <si>
    <t>Auger</t>
  </si>
  <si>
    <t>Fence Posts</t>
  </si>
  <si>
    <t>Lumber</t>
  </si>
  <si>
    <t>Skid steer (half day rental)</t>
  </si>
  <si>
    <t>Irrigation</t>
  </si>
  <si>
    <t>Irrigation Supplies</t>
  </si>
  <si>
    <t>Puck Controllers (x6)</t>
  </si>
  <si>
    <t>Solenoid (x5)</t>
  </si>
  <si>
    <t>Seed/starts</t>
  </si>
  <si>
    <t>Cover Crops seed</t>
  </si>
  <si>
    <t>Small Tools</t>
  </si>
  <si>
    <t>Digital scale</t>
  </si>
  <si>
    <t>Post driver</t>
  </si>
  <si>
    <t>Interlocking organizer</t>
  </si>
  <si>
    <t>Assorted hooks</t>
  </si>
  <si>
    <t>Tool box totes (x2)</t>
  </si>
  <si>
    <t>Knives</t>
  </si>
  <si>
    <t>Pruning shears (3 pack)</t>
  </si>
  <si>
    <t>Plant Labels</t>
  </si>
  <si>
    <t>Hula Hoes (x6)</t>
  </si>
  <si>
    <t>Fertilizer</t>
  </si>
  <si>
    <t>Pesticide</t>
  </si>
  <si>
    <t>Boxes/packaging</t>
  </si>
  <si>
    <t>labor</t>
  </si>
  <si>
    <t xml:space="preserve">LABOR   </t>
  </si>
  <si>
    <t>Irrigation installation (40 hours)</t>
  </si>
  <si>
    <t>Initial installation</t>
  </si>
  <si>
    <t>Fence installation (40 hours)</t>
  </si>
  <si>
    <t>Initiaal instalation</t>
  </si>
  <si>
    <t>Initial planting 1 hour (40 volunteers)</t>
  </si>
  <si>
    <t>Every year - not all planting at  not efficient labor</t>
  </si>
  <si>
    <t>Labor 2 hours/week for 17 weeks (average 10 volunteers) for a total of 340 hours over the season</t>
  </si>
  <si>
    <t>Tear down 1 hour (30 volunteers)</t>
  </si>
  <si>
    <t>every year cut flowers and everything</t>
  </si>
  <si>
    <t>Maintenance/harvest</t>
  </si>
  <si>
    <t>Planting</t>
  </si>
  <si>
    <t>Tear down</t>
  </si>
  <si>
    <t>Hours in total</t>
  </si>
  <si>
    <t>Vegetabel Percent of space</t>
  </si>
  <si>
    <t>Vegetabe hours</t>
  </si>
  <si>
    <t xml:space="preserve">Vegetable growing space is </t>
  </si>
  <si>
    <t>Vegetabel size for one crop</t>
  </si>
  <si>
    <t>Number of veg crops</t>
  </si>
  <si>
    <t>Labor per crop</t>
  </si>
  <si>
    <t>Rate per hour</t>
  </si>
  <si>
    <t>Total labor cost</t>
  </si>
  <si>
    <t>Percent vegetables each crop</t>
  </si>
  <si>
    <t>Returns above variable costs</t>
  </si>
  <si>
    <t>Pump Sprayer</t>
  </si>
  <si>
    <t>Weed spray</t>
  </si>
  <si>
    <t>Shed</t>
  </si>
  <si>
    <t>Door handles and locks</t>
  </si>
  <si>
    <t>Galvanized metal and roofing materials</t>
  </si>
  <si>
    <t xml:space="preserve">Door bottoms </t>
  </si>
  <si>
    <t>Soil Prep</t>
  </si>
  <si>
    <t>Soil Pep</t>
  </si>
  <si>
    <t>Tiller</t>
  </si>
  <si>
    <t>Tractor rental year 1</t>
  </si>
  <si>
    <t>Tomato Trellis</t>
  </si>
  <si>
    <t>Bailing twine</t>
  </si>
  <si>
    <t>T-posts (x20)</t>
  </si>
  <si>
    <t>Plant support clips</t>
  </si>
  <si>
    <t>Tomato twine 6300 ft</t>
  </si>
  <si>
    <t>Conduit and connectors</t>
  </si>
  <si>
    <t>Total for tomatoes</t>
  </si>
  <si>
    <t>Compost</t>
  </si>
  <si>
    <t>Soil Preparation</t>
  </si>
  <si>
    <t>Small Tools Annual allocation</t>
  </si>
  <si>
    <t>Annual costs for startup expenses</t>
  </si>
  <si>
    <t>Land rental costs</t>
  </si>
  <si>
    <t>Total annual allocation</t>
  </si>
  <si>
    <t>marketing and packaging*</t>
  </si>
  <si>
    <t>* marketing $150 per year cc processing, 10 weeks, $10 per week for rental and 50 miles per week</t>
  </si>
  <si>
    <t>marketing labor</t>
  </si>
  <si>
    <t>Variable costs</t>
  </si>
  <si>
    <t>Net Returns</t>
  </si>
  <si>
    <t>Returns Vegetable farm</t>
  </si>
  <si>
    <t>Summary Returns farm</t>
  </si>
  <si>
    <t>Number of individual crop areas</t>
  </si>
  <si>
    <t>Sales</t>
  </si>
  <si>
    <t>Annual allocation</t>
  </si>
  <si>
    <t>Irrigation labor setup</t>
  </si>
  <si>
    <t>Labor</t>
  </si>
  <si>
    <t>acres</t>
  </si>
  <si>
    <t>Cost / acre</t>
  </si>
  <si>
    <t>Land cost</t>
  </si>
  <si>
    <t>Ann. $/crop</t>
  </si>
  <si>
    <t>$/crop</t>
  </si>
  <si>
    <t>USDA</t>
  </si>
  <si>
    <t>Grower</t>
  </si>
  <si>
    <t>Tomato</t>
  </si>
  <si>
    <t>FM survey adjust for inflation</t>
  </si>
  <si>
    <t>Average</t>
  </si>
  <si>
    <t>High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</si>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</sst>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44" fontId="0" fillId="0" borderId="0" xfId="0" applyNumberFormat="1"/>
    <xf numFmtId="0" fontId="3" fillId="0" borderId="1" xfId="0" applyFont="1" applyBorder="1"/>
    <xf numFmtId="0" fontId="0" fillId="2" borderId="0" xfId="0" applyFill="1"/>
    <xf numFmtId="0" fontId="0" fillId="0" borderId="0" xfId="0" applyFill="1"/>
    <xf numFmtId="9" fontId="0" fillId="0" borderId="0" xfId="3" applyFont="1"/>
    <xf numFmtId="10" fontId="0" fillId="0" borderId="0" xfId="3" applyNumberFormat="1" applyFont="1"/>
    <xf numFmtId="10" fontId="0" fillId="0" borderId="0" xfId="0" applyNumberFormat="1"/>
    <xf numFmtId="44" fontId="0" fillId="0" borderId="0" xfId="2" applyFont="1"/>
    <xf numFmtId="44" fontId="0" fillId="0" borderId="0" xfId="2" applyFont="1" applyFill="1"/>
    <xf numFmtId="44" fontId="3" fillId="0" borderId="0" xfId="2" applyFont="1"/>
    <xf numFmtId="0" fontId="0" fillId="0" borderId="0" xfId="0" applyFont="1"/>
    <xf numFmtId="0" fontId="3" fillId="0" borderId="3" xfId="0" applyFont="1" applyBorder="1"/>
    <xf numFmtId="44" fontId="0" fillId="2" borderId="0" xfId="2" applyFont="1" applyFill="1"/>
    <xf numFmtId="44" fontId="0" fillId="0" borderId="0" xfId="0" applyNumberFormat="1" applyFill="1"/>
    <xf numFmtId="0" fontId="2" fillId="2" borderId="0" xfId="0" applyFont="1" applyFill="1"/>
    <xf numFmtId="44" fontId="2" fillId="0" borderId="0" xfId="2" applyFont="1"/>
    <xf numFmtId="0" fontId="2" fillId="0" borderId="0" xfId="0" applyFont="1"/>
    <xf numFmtId="44" fontId="3" fillId="0" borderId="0" xfId="0" applyNumberFormat="1" applyFont="1"/>
    <xf numFmtId="44" fontId="0" fillId="2" borderId="0" xfId="0" applyNumberFormat="1" applyFill="1"/>
    <xf numFmtId="1" fontId="0" fillId="2" borderId="0" xfId="0" applyNumberFormat="1" applyFill="1"/>
    <xf numFmtId="1" fontId="0" fillId="0" borderId="0" xfId="0" applyNumberFormat="1"/>
    <xf numFmtId="164" fontId="3" fillId="0" borderId="2" xfId="2" applyNumberFormat="1" applyFont="1" applyBorder="1"/>
    <xf numFmtId="44" fontId="3" fillId="0" borderId="2" xfId="2" applyNumberFormat="1" applyFont="1" applyBorder="1"/>
    <xf numFmtId="164" fontId="0" fillId="0" borderId="0" xfId="2" applyNumberFormat="1" applyFont="1"/>
    <xf numFmtId="0" fontId="0" fillId="0" borderId="3" xfId="0" applyBorder="1"/>
    <xf numFmtId="0" fontId="4" fillId="0" borderId="0" xfId="0" applyFont="1"/>
    <xf numFmtId="0" fontId="3" fillId="0" borderId="0" xfId="0" applyFont="1" applyFill="1" applyBorder="1"/>
    <xf numFmtId="165" fontId="0" fillId="0" borderId="0" xfId="1" applyNumberFormat="1" applyFont="1"/>
    <xf numFmtId="0" fontId="5" fillId="0" borderId="0" xfId="0" applyFont="1"/>
    <xf numFmtId="0" fontId="5" fillId="2" borderId="0" xfId="0" applyFont="1" applyFill="1"/>
    <xf numFmtId="44" fontId="5" fillId="0" borderId="0" xfId="2" applyFont="1"/>
    <xf numFmtId="44" fontId="5" fillId="2" borderId="0" xfId="2" applyFont="1" applyFill="1"/>
    <xf numFmtId="0" fontId="5" fillId="0" borderId="0" xfId="0" applyFont="1" applyFill="1"/>
    <xf numFmtId="164" fontId="0" fillId="2" borderId="0" xfId="2" applyNumberFormat="1" applyFont="1" applyFill="1"/>
    <xf numFmtId="0" fontId="0" fillId="0" borderId="0" xfId="0" applyBorder="1"/>
    <xf numFmtId="164" fontId="0" fillId="0" borderId="0" xfId="2" applyNumberFormat="1" applyFont="1" applyBorder="1"/>
    <xf numFmtId="164" fontId="3" fillId="0" borderId="0" xfId="2" applyNumberFormat="1" applyFont="1" applyBorder="1"/>
    <xf numFmtId="0" fontId="0" fillId="0" borderId="0" xfId="0" applyAlignment="1">
      <alignment horizontal="center"/>
    </xf>
    <xf numFmtId="0" fontId="0" fillId="0" borderId="0" xfId="0" applyFill="1" applyBorder="1"/>
    <xf numFmtId="2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140" zoomScaleNormal="140" workbookViewId="0">
      <selection activeCell="A14" sqref="A14"/>
    </sheetView>
  </sheetViews>
  <sheetFormatPr defaultRowHeight="15" x14ac:dyDescent="0.25"/>
  <cols>
    <col min="1" max="1" width="33.5703125" customWidth="1"/>
    <col min="2" max="2" width="9.85546875" customWidth="1"/>
    <col min="3" max="3" width="14.85546875" customWidth="1"/>
    <col min="4" max="4" width="12" customWidth="1"/>
    <col min="5" max="5" width="15" customWidth="1"/>
    <col min="6" max="6" width="11.7109375" customWidth="1"/>
    <col min="7" max="7" width="12.5703125" customWidth="1"/>
    <col min="8" max="8" width="11.7109375" customWidth="1"/>
    <col min="9" max="9" width="14.7109375" customWidth="1"/>
    <col min="10" max="10" width="12.140625" customWidth="1"/>
    <col min="11" max="11" width="15" customWidth="1"/>
    <col min="12" max="12" width="12.5703125" customWidth="1"/>
  </cols>
  <sheetData>
    <row r="1" spans="1:9" x14ac:dyDescent="0.25">
      <c r="G1" t="s">
        <v>1</v>
      </c>
      <c r="H1">
        <v>1.2024999999999999</v>
      </c>
      <c r="I1" t="s">
        <v>8</v>
      </c>
    </row>
    <row r="2" spans="1:9" x14ac:dyDescent="0.25">
      <c r="A2" t="s">
        <v>13</v>
      </c>
      <c r="B2" s="4">
        <f>(1/25)*(1860/5400)</f>
        <v>1.3777777777777778E-2</v>
      </c>
      <c r="H2">
        <v>1.2294</v>
      </c>
      <c r="I2" t="s">
        <v>9</v>
      </c>
    </row>
    <row r="3" spans="1:9" x14ac:dyDescent="0.25">
      <c r="A3" t="s">
        <v>82</v>
      </c>
      <c r="B3" s="4">
        <f>60/1500</f>
        <v>0.04</v>
      </c>
    </row>
    <row r="4" spans="1:9" x14ac:dyDescent="0.25">
      <c r="A4" s="1" t="s">
        <v>6</v>
      </c>
      <c r="B4" s="1"/>
      <c r="C4" s="1"/>
    </row>
    <row r="5" spans="1:9" x14ac:dyDescent="0.25">
      <c r="D5" t="s">
        <v>124</v>
      </c>
      <c r="E5" s="39" t="s">
        <v>125</v>
      </c>
      <c r="F5" s="39"/>
      <c r="G5" s="1" t="s">
        <v>127</v>
      </c>
      <c r="H5" s="28"/>
      <c r="I5" s="28"/>
    </row>
    <row r="6" spans="1:9" ht="15.75" thickBot="1" x14ac:dyDescent="0.3">
      <c r="A6" s="3" t="s">
        <v>4</v>
      </c>
      <c r="B6" s="3"/>
      <c r="C6" s="3"/>
      <c r="D6" s="3" t="s">
        <v>126</v>
      </c>
      <c r="E6" s="3" t="s">
        <v>126</v>
      </c>
      <c r="F6" s="3" t="s">
        <v>126</v>
      </c>
      <c r="G6" s="3" t="s">
        <v>128</v>
      </c>
      <c r="H6" s="3" t="s">
        <v>129</v>
      </c>
      <c r="I6" s="3" t="s">
        <v>130</v>
      </c>
    </row>
    <row r="7" spans="1:9" x14ac:dyDescent="0.25">
      <c r="A7" t="s">
        <v>2</v>
      </c>
      <c r="D7" s="14">
        <v>2.4300000000000002</v>
      </c>
      <c r="E7" s="14">
        <v>2</v>
      </c>
      <c r="F7" s="14">
        <v>3</v>
      </c>
      <c r="G7" s="14">
        <v>1.91</v>
      </c>
      <c r="H7" s="14">
        <f>4.28*H1</f>
        <v>5.1467000000000001</v>
      </c>
      <c r="I7" s="14">
        <f>1.4*H1</f>
        <v>1.6834999999999998</v>
      </c>
    </row>
    <row r="8" spans="1:9" x14ac:dyDescent="0.25">
      <c r="A8" t="s">
        <v>3</v>
      </c>
      <c r="D8" s="21">
        <v>183.94200000000001</v>
      </c>
      <c r="E8" s="22">
        <f>D8</f>
        <v>183.94200000000001</v>
      </c>
      <c r="F8" s="22">
        <f>D8</f>
        <v>183.94200000000001</v>
      </c>
      <c r="G8" s="22">
        <f>+F8</f>
        <v>183.94200000000001</v>
      </c>
      <c r="H8" s="22">
        <f t="shared" ref="H8:I8" si="0">+G8</f>
        <v>183.94200000000001</v>
      </c>
      <c r="I8" s="22">
        <f t="shared" si="0"/>
        <v>183.94200000000001</v>
      </c>
    </row>
    <row r="9" spans="1:9" ht="15.75" thickBot="1" x14ac:dyDescent="0.3">
      <c r="A9" s="1" t="s">
        <v>0</v>
      </c>
      <c r="B9" s="1"/>
      <c r="C9" s="1"/>
      <c r="D9" s="24">
        <f>D7*D8</f>
        <v>446.97906000000006</v>
      </c>
      <c r="E9" s="24">
        <f t="shared" ref="E9:F9" si="1">E7*E8</f>
        <v>367.88400000000001</v>
      </c>
      <c r="F9" s="24">
        <f t="shared" si="1"/>
        <v>551.82600000000002</v>
      </c>
      <c r="G9" s="24">
        <f>G7*G8</f>
        <v>351.32922000000002</v>
      </c>
      <c r="H9" s="24">
        <f t="shared" ref="H9:I9" si="2">H7*H8</f>
        <v>946.6942914</v>
      </c>
      <c r="I9" s="24">
        <f t="shared" si="2"/>
        <v>309.66635699999995</v>
      </c>
    </row>
    <row r="10" spans="1:9" ht="15.75" thickTop="1" x14ac:dyDescent="0.25"/>
    <row r="11" spans="1:9" x14ac:dyDescent="0.25">
      <c r="A11" s="1" t="s">
        <v>7</v>
      </c>
      <c r="B11" s="1" t="s">
        <v>11</v>
      </c>
      <c r="C11" s="1" t="s">
        <v>12</v>
      </c>
    </row>
    <row r="12" spans="1:9" x14ac:dyDescent="0.25">
      <c r="A12" t="s">
        <v>10</v>
      </c>
      <c r="B12" s="14">
        <v>250</v>
      </c>
      <c r="C12" s="9">
        <f>B12*B2</f>
        <v>3.4444444444444446</v>
      </c>
      <c r="D12" s="2">
        <f>$C12</f>
        <v>3.4444444444444446</v>
      </c>
      <c r="E12" s="2">
        <f>D12</f>
        <v>3.4444444444444446</v>
      </c>
      <c r="F12" s="2">
        <f>D12</f>
        <v>3.4444444444444446</v>
      </c>
      <c r="G12" s="2">
        <f>+D12</f>
        <v>3.4444444444444446</v>
      </c>
      <c r="H12" s="2">
        <f t="shared" ref="H12:I22" si="3">+E12</f>
        <v>3.4444444444444446</v>
      </c>
      <c r="I12" s="2">
        <f t="shared" si="3"/>
        <v>3.4444444444444446</v>
      </c>
    </row>
    <row r="13" spans="1:9" x14ac:dyDescent="0.25">
      <c r="A13" s="12" t="s">
        <v>44</v>
      </c>
      <c r="B13" s="9"/>
      <c r="C13" s="9"/>
      <c r="D13" s="4">
        <v>27.8</v>
      </c>
      <c r="E13" s="2">
        <f>D13</f>
        <v>27.8</v>
      </c>
      <c r="F13" s="2">
        <f>D13</f>
        <v>27.8</v>
      </c>
      <c r="G13" s="2">
        <f t="shared" ref="G13:G22" si="4">+D13</f>
        <v>27.8</v>
      </c>
      <c r="H13" s="2">
        <f t="shared" si="3"/>
        <v>27.8</v>
      </c>
      <c r="I13" s="2">
        <f t="shared" si="3"/>
        <v>27.8</v>
      </c>
    </row>
    <row r="14" spans="1:9" x14ac:dyDescent="0.25">
      <c r="A14" s="12" t="s">
        <v>45</v>
      </c>
      <c r="B14" s="14">
        <v>35.950000000000003</v>
      </c>
      <c r="C14" s="9">
        <f>B14*$B$2</f>
        <v>0.49531111111111115</v>
      </c>
      <c r="D14" s="2">
        <f>$C14</f>
        <v>0.49531111111111115</v>
      </c>
      <c r="E14" s="2">
        <f>D14</f>
        <v>0.49531111111111115</v>
      </c>
      <c r="F14" s="2">
        <f>D14</f>
        <v>0.49531111111111115</v>
      </c>
      <c r="G14" s="2">
        <f t="shared" si="4"/>
        <v>0.49531111111111115</v>
      </c>
      <c r="H14" s="2">
        <f t="shared" si="3"/>
        <v>0.49531111111111115</v>
      </c>
      <c r="I14" s="2">
        <f t="shared" si="3"/>
        <v>0.49531111111111115</v>
      </c>
    </row>
    <row r="15" spans="1:9" x14ac:dyDescent="0.25">
      <c r="A15" s="12" t="s">
        <v>56</v>
      </c>
      <c r="B15" s="4">
        <v>5</v>
      </c>
      <c r="C15" s="9">
        <f>B15*$B$2</f>
        <v>6.8888888888888888E-2</v>
      </c>
      <c r="D15" s="2">
        <f t="shared" ref="D15:D20" si="5">$C15</f>
        <v>6.8888888888888888E-2</v>
      </c>
      <c r="E15" s="2">
        <f>D15</f>
        <v>6.8888888888888888E-2</v>
      </c>
      <c r="F15" s="2">
        <f>D15</f>
        <v>6.8888888888888888E-2</v>
      </c>
      <c r="G15" s="2">
        <f t="shared" si="4"/>
        <v>6.8888888888888888E-2</v>
      </c>
      <c r="H15" s="2">
        <f t="shared" si="3"/>
        <v>6.8888888888888888E-2</v>
      </c>
      <c r="I15" s="2">
        <f t="shared" si="3"/>
        <v>6.8888888888888888E-2</v>
      </c>
    </row>
    <row r="16" spans="1:9" x14ac:dyDescent="0.25">
      <c r="A16" s="12" t="s">
        <v>57</v>
      </c>
      <c r="B16" s="4">
        <v>35</v>
      </c>
      <c r="C16" s="9">
        <f>B16*$B$2</f>
        <v>0.48222222222222222</v>
      </c>
      <c r="D16" s="2">
        <f t="shared" si="5"/>
        <v>0.48222222222222222</v>
      </c>
      <c r="E16" s="2">
        <f>D16</f>
        <v>0.48222222222222222</v>
      </c>
      <c r="F16" s="2">
        <f>D16</f>
        <v>0.48222222222222222</v>
      </c>
      <c r="G16" s="2">
        <f t="shared" si="4"/>
        <v>0.48222222222222222</v>
      </c>
      <c r="H16" s="2">
        <f t="shared" si="3"/>
        <v>0.48222222222222222</v>
      </c>
      <c r="I16" s="2">
        <f t="shared" si="3"/>
        <v>0.48222222222222222</v>
      </c>
    </row>
    <row r="17" spans="1:9" x14ac:dyDescent="0.25">
      <c r="A17" s="12" t="s">
        <v>85</v>
      </c>
      <c r="B17" s="4">
        <v>65</v>
      </c>
      <c r="C17" s="9">
        <f>B17*$B$2</f>
        <v>0.89555555555555555</v>
      </c>
      <c r="D17" s="2">
        <f t="shared" si="5"/>
        <v>0.89555555555555555</v>
      </c>
      <c r="E17" s="2">
        <f>D17</f>
        <v>0.89555555555555555</v>
      </c>
      <c r="F17" s="2">
        <f>D17</f>
        <v>0.89555555555555555</v>
      </c>
      <c r="G17" s="2">
        <f t="shared" si="4"/>
        <v>0.89555555555555555</v>
      </c>
      <c r="H17" s="2">
        <f t="shared" si="3"/>
        <v>0.89555555555555555</v>
      </c>
      <c r="I17" s="2">
        <f t="shared" si="3"/>
        <v>0.89555555555555555</v>
      </c>
    </row>
    <row r="18" spans="1:9" x14ac:dyDescent="0.25">
      <c r="A18" s="30" t="s">
        <v>58</v>
      </c>
      <c r="B18" s="31">
        <v>125</v>
      </c>
      <c r="C18" s="32">
        <f>B18*$B$3</f>
        <v>5</v>
      </c>
      <c r="D18" s="2">
        <f t="shared" si="5"/>
        <v>5</v>
      </c>
      <c r="E18" s="2">
        <f>D18</f>
        <v>5</v>
      </c>
      <c r="F18" s="2">
        <f>D18</f>
        <v>5</v>
      </c>
      <c r="G18" s="2">
        <f t="shared" si="4"/>
        <v>5</v>
      </c>
      <c r="H18" s="2">
        <f t="shared" si="3"/>
        <v>5</v>
      </c>
      <c r="I18" s="2">
        <f t="shared" si="3"/>
        <v>5</v>
      </c>
    </row>
    <row r="19" spans="1:9" x14ac:dyDescent="0.25">
      <c r="A19" s="18" t="s">
        <v>107</v>
      </c>
      <c r="B19" s="16">
        <f>(50*0.5+10)*10+150</f>
        <v>500</v>
      </c>
      <c r="C19" s="17">
        <f>B19*$B$3</f>
        <v>20</v>
      </c>
      <c r="D19" s="2">
        <f t="shared" si="5"/>
        <v>20</v>
      </c>
      <c r="E19" s="2">
        <f>D19</f>
        <v>20</v>
      </c>
      <c r="F19" s="2">
        <f>D19</f>
        <v>20</v>
      </c>
      <c r="G19" s="2">
        <f t="shared" si="4"/>
        <v>20</v>
      </c>
      <c r="H19" s="2">
        <f t="shared" si="3"/>
        <v>20</v>
      </c>
      <c r="I19" s="2">
        <f t="shared" si="3"/>
        <v>20</v>
      </c>
    </row>
    <row r="20" spans="1:9" x14ac:dyDescent="0.25">
      <c r="A20" s="18" t="s">
        <v>109</v>
      </c>
      <c r="B20" s="16">
        <f>100*18</f>
        <v>1800</v>
      </c>
      <c r="C20" s="17">
        <f>B20*$B$2</f>
        <v>24.8</v>
      </c>
      <c r="D20" s="2">
        <f t="shared" si="5"/>
        <v>24.8</v>
      </c>
      <c r="E20" s="2">
        <f>D20</f>
        <v>24.8</v>
      </c>
      <c r="F20" s="2">
        <f>D20</f>
        <v>24.8</v>
      </c>
      <c r="G20" s="2">
        <f t="shared" si="4"/>
        <v>24.8</v>
      </c>
      <c r="H20" s="2">
        <f t="shared" si="3"/>
        <v>24.8</v>
      </c>
      <c r="I20" s="2">
        <f t="shared" si="3"/>
        <v>24.8</v>
      </c>
    </row>
    <row r="21" spans="1:9" x14ac:dyDescent="0.25">
      <c r="A21" s="30" t="s">
        <v>105</v>
      </c>
      <c r="B21" s="34"/>
      <c r="C21" s="33">
        <v>35</v>
      </c>
      <c r="D21" s="2">
        <f>$C21</f>
        <v>35</v>
      </c>
      <c r="E21" s="2">
        <f>D21</f>
        <v>35</v>
      </c>
      <c r="F21" s="2">
        <f>D21</f>
        <v>35</v>
      </c>
      <c r="G21" s="2">
        <f t="shared" si="4"/>
        <v>35</v>
      </c>
      <c r="H21" s="2">
        <f t="shared" si="3"/>
        <v>35</v>
      </c>
      <c r="I21" s="2">
        <f t="shared" si="3"/>
        <v>35</v>
      </c>
    </row>
    <row r="22" spans="1:9" x14ac:dyDescent="0.25">
      <c r="A22" t="s">
        <v>59</v>
      </c>
      <c r="C22" s="4">
        <v>101.68</v>
      </c>
      <c r="D22" s="2">
        <f>C22</f>
        <v>101.68</v>
      </c>
      <c r="E22" s="2">
        <f>D22</f>
        <v>101.68</v>
      </c>
      <c r="F22" s="2">
        <f>D22</f>
        <v>101.68</v>
      </c>
      <c r="G22" s="2">
        <f t="shared" si="4"/>
        <v>101.68</v>
      </c>
      <c r="H22" s="2">
        <f t="shared" si="3"/>
        <v>101.68</v>
      </c>
      <c r="I22" s="2">
        <f t="shared" si="3"/>
        <v>101.68</v>
      </c>
    </row>
    <row r="23" spans="1:9" x14ac:dyDescent="0.25">
      <c r="A23" s="1" t="s">
        <v>110</v>
      </c>
      <c r="B23" s="1"/>
      <c r="C23" s="1"/>
      <c r="D23" s="19">
        <f>SUM(D12:D22)</f>
        <v>219.66642222222222</v>
      </c>
      <c r="E23" s="19">
        <f t="shared" ref="E23" si="6">SUM(E12:E22)</f>
        <v>219.66642222222222</v>
      </c>
      <c r="F23" s="19">
        <f t="shared" ref="F23:I23" si="7">SUM(F12:F22)</f>
        <v>219.66642222222222</v>
      </c>
      <c r="G23" s="19">
        <f t="shared" si="7"/>
        <v>219.66642222222222</v>
      </c>
      <c r="H23" s="19">
        <f t="shared" ref="H23:I23" si="8">SUM(H12:H22)</f>
        <v>219.66642222222222</v>
      </c>
      <c r="I23" s="19">
        <f t="shared" si="8"/>
        <v>219.66642222222222</v>
      </c>
    </row>
    <row r="24" spans="1:9" x14ac:dyDescent="0.25">
      <c r="A24" s="1" t="s">
        <v>83</v>
      </c>
      <c r="B24" s="1"/>
      <c r="C24" s="1"/>
      <c r="D24" s="19">
        <f>D9-D23</f>
        <v>227.31263777777784</v>
      </c>
      <c r="E24" s="19">
        <f t="shared" ref="E24:I24" si="9">E9-E23</f>
        <v>148.21757777777779</v>
      </c>
      <c r="F24" s="19">
        <f t="shared" si="9"/>
        <v>332.15957777777783</v>
      </c>
      <c r="G24" s="19">
        <f t="shared" si="9"/>
        <v>131.6627977777778</v>
      </c>
      <c r="H24" s="19">
        <f t="shared" ref="H24:I24" si="10">H9-H23</f>
        <v>727.0278691777778</v>
      </c>
      <c r="I24" s="19">
        <f t="shared" si="10"/>
        <v>89.999934777777725</v>
      </c>
    </row>
    <row r="26" spans="1:9" x14ac:dyDescent="0.25">
      <c r="A26" s="1" t="s">
        <v>104</v>
      </c>
    </row>
    <row r="27" spans="1:9" x14ac:dyDescent="0.25">
      <c r="A27" t="s">
        <v>101</v>
      </c>
      <c r="C27" s="2">
        <f>'Initial Start up costs'!D15</f>
        <v>0.14976444444444445</v>
      </c>
      <c r="D27" s="2">
        <f>C27</f>
        <v>0.14976444444444445</v>
      </c>
      <c r="E27" s="2">
        <f>D27</f>
        <v>0.14976444444444445</v>
      </c>
      <c r="F27" s="2">
        <f>D27</f>
        <v>0.14976444444444445</v>
      </c>
      <c r="G27" s="2">
        <f>+D27</f>
        <v>0.14976444444444445</v>
      </c>
      <c r="H27" s="2">
        <f t="shared" ref="H27:I32" si="11">+E27</f>
        <v>0.14976444444444445</v>
      </c>
      <c r="I27" s="2">
        <f t="shared" si="11"/>
        <v>0.14976444444444445</v>
      </c>
    </row>
    <row r="28" spans="1:9" x14ac:dyDescent="0.25">
      <c r="A28" t="s">
        <v>30</v>
      </c>
      <c r="C28" s="2">
        <f>'Initial Start up costs'!D23</f>
        <v>0.52214333333333329</v>
      </c>
      <c r="D28" s="2">
        <f t="shared" ref="D28:D32" si="12">C28</f>
        <v>0.52214333333333329</v>
      </c>
      <c r="E28" s="2">
        <f>D28</f>
        <v>0.52214333333333329</v>
      </c>
      <c r="F28" s="2">
        <f>D28</f>
        <v>0.52214333333333329</v>
      </c>
      <c r="G28" s="2">
        <f t="shared" ref="G28:G33" si="13">+D28</f>
        <v>0.52214333333333329</v>
      </c>
      <c r="H28" s="2">
        <f t="shared" si="11"/>
        <v>0.52214333333333329</v>
      </c>
      <c r="I28" s="2">
        <f t="shared" si="11"/>
        <v>0.52214333333333329</v>
      </c>
    </row>
    <row r="29" spans="1:9" x14ac:dyDescent="0.25">
      <c r="A29" t="s">
        <v>40</v>
      </c>
      <c r="C29" s="2">
        <f>'Initial Start up costs'!D31</f>
        <v>4.7183102222222226</v>
      </c>
      <c r="D29" s="2">
        <f t="shared" si="12"/>
        <v>4.7183102222222226</v>
      </c>
      <c r="E29" s="2">
        <f>D29</f>
        <v>4.7183102222222226</v>
      </c>
      <c r="F29" s="2">
        <f>D29</f>
        <v>4.7183102222222226</v>
      </c>
      <c r="G29" s="2">
        <f t="shared" si="13"/>
        <v>4.7183102222222226</v>
      </c>
      <c r="H29" s="2">
        <f t="shared" si="11"/>
        <v>4.7183102222222226</v>
      </c>
      <c r="I29" s="2">
        <f t="shared" si="11"/>
        <v>4.7183102222222226</v>
      </c>
    </row>
    <row r="30" spans="1:9" x14ac:dyDescent="0.25">
      <c r="A30" t="s">
        <v>103</v>
      </c>
      <c r="C30" s="2">
        <f>'Initial Start up costs'!D45</f>
        <v>1.0582848888888887</v>
      </c>
      <c r="D30" s="2">
        <f t="shared" si="12"/>
        <v>1.0582848888888887</v>
      </c>
      <c r="E30" s="2">
        <f>D30</f>
        <v>1.0582848888888887</v>
      </c>
      <c r="F30" s="2">
        <f>D30</f>
        <v>1.0582848888888887</v>
      </c>
      <c r="G30" s="2">
        <f t="shared" si="13"/>
        <v>1.0582848888888887</v>
      </c>
      <c r="H30" s="2">
        <f t="shared" si="11"/>
        <v>1.0582848888888887</v>
      </c>
      <c r="I30" s="2">
        <f t="shared" si="11"/>
        <v>1.0582848888888887</v>
      </c>
    </row>
    <row r="31" spans="1:9" x14ac:dyDescent="0.25">
      <c r="A31" t="s">
        <v>86</v>
      </c>
      <c r="C31" s="2">
        <f>'Initial Start up costs'!D53</f>
        <v>0.85309244444444454</v>
      </c>
      <c r="D31" s="2">
        <f t="shared" si="12"/>
        <v>0.85309244444444454</v>
      </c>
      <c r="E31" s="2">
        <f>D31</f>
        <v>0.85309244444444454</v>
      </c>
      <c r="F31" s="2">
        <f>D31</f>
        <v>0.85309244444444454</v>
      </c>
      <c r="G31" s="2">
        <f t="shared" si="13"/>
        <v>0.85309244444444454</v>
      </c>
      <c r="H31" s="2">
        <f t="shared" si="11"/>
        <v>0.85309244444444454</v>
      </c>
      <c r="I31" s="2">
        <f t="shared" si="11"/>
        <v>0.85309244444444454</v>
      </c>
    </row>
    <row r="32" spans="1:9" x14ac:dyDescent="0.25">
      <c r="A32" t="s">
        <v>102</v>
      </c>
      <c r="C32" s="2">
        <f>'Initial Start up costs'!D60</f>
        <v>0.97133333333333338</v>
      </c>
      <c r="D32" s="2">
        <f t="shared" si="12"/>
        <v>0.97133333333333338</v>
      </c>
      <c r="E32" s="2">
        <f>D32</f>
        <v>0.97133333333333338</v>
      </c>
      <c r="F32" s="2">
        <f>D32</f>
        <v>0.97133333333333338</v>
      </c>
      <c r="G32" s="2">
        <f t="shared" si="13"/>
        <v>0.97133333333333338</v>
      </c>
      <c r="H32" s="2">
        <f t="shared" si="11"/>
        <v>0.97133333333333338</v>
      </c>
      <c r="I32" s="2">
        <f t="shared" si="11"/>
        <v>0.97133333333333338</v>
      </c>
    </row>
    <row r="33" spans="1:13" x14ac:dyDescent="0.25">
      <c r="A33" t="s">
        <v>94</v>
      </c>
      <c r="D33" s="2">
        <f>'Initial Start up costs'!D68</f>
        <v>49.381999999999991</v>
      </c>
      <c r="E33" s="2">
        <f>D33</f>
        <v>49.381999999999991</v>
      </c>
      <c r="F33" s="2">
        <f>D33</f>
        <v>49.381999999999991</v>
      </c>
      <c r="G33" s="2">
        <f>'Initial Start up costs'!D68</f>
        <v>49.381999999999991</v>
      </c>
      <c r="H33" s="2">
        <f>G33</f>
        <v>49.381999999999991</v>
      </c>
      <c r="I33" s="2">
        <f>H33</f>
        <v>49.381999999999991</v>
      </c>
    </row>
    <row r="34" spans="1:13" x14ac:dyDescent="0.25">
      <c r="A34" s="1" t="s">
        <v>106</v>
      </c>
      <c r="C34" s="19">
        <f>SUM(C27:C33)</f>
        <v>8.272928666666667</v>
      </c>
      <c r="D34" s="19">
        <f t="shared" ref="D34:I34" si="14">SUM(D27:D33)</f>
        <v>57.654928666666656</v>
      </c>
      <c r="E34" s="19">
        <f t="shared" si="14"/>
        <v>57.654928666666656</v>
      </c>
      <c r="F34" s="19">
        <f t="shared" si="14"/>
        <v>57.654928666666656</v>
      </c>
      <c r="G34" s="19">
        <f t="shared" si="14"/>
        <v>57.654928666666656</v>
      </c>
      <c r="H34" s="19">
        <f t="shared" ref="H34:I34" si="15">SUM(H27:H33)</f>
        <v>57.654928666666656</v>
      </c>
      <c r="I34" s="19">
        <f t="shared" si="15"/>
        <v>57.654928666666656</v>
      </c>
    </row>
    <row r="35" spans="1:13" x14ac:dyDescent="0.25">
      <c r="A35" t="s">
        <v>111</v>
      </c>
      <c r="D35" s="2">
        <f>D24-D34</f>
        <v>169.65770911111119</v>
      </c>
      <c r="E35" s="2">
        <f t="shared" ref="E35:I35" si="16">E24-E34</f>
        <v>90.562649111111142</v>
      </c>
      <c r="F35" s="2">
        <f t="shared" si="16"/>
        <v>274.50464911111118</v>
      </c>
      <c r="G35" s="2">
        <f t="shared" si="16"/>
        <v>74.007869111111148</v>
      </c>
      <c r="H35" s="2">
        <f t="shared" ref="H35:I35" si="17">H24-H34</f>
        <v>669.3729405111111</v>
      </c>
      <c r="I35" s="2">
        <f t="shared" si="17"/>
        <v>32.345006111111068</v>
      </c>
    </row>
    <row r="36" spans="1:13" x14ac:dyDescent="0.25">
      <c r="A36" t="s">
        <v>112</v>
      </c>
      <c r="H36" s="40"/>
      <c r="I36" s="40"/>
    </row>
    <row r="37" spans="1:13" x14ac:dyDescent="0.25">
      <c r="H37" s="40"/>
      <c r="I37" s="40"/>
    </row>
    <row r="38" spans="1:13" ht="18.75" x14ac:dyDescent="0.3">
      <c r="A38" s="27" t="s">
        <v>113</v>
      </c>
      <c r="H38" s="40"/>
      <c r="I38" s="40"/>
    </row>
    <row r="39" spans="1:13" x14ac:dyDescent="0.25">
      <c r="A39" t="s">
        <v>114</v>
      </c>
      <c r="D39" s="26">
        <f>1/$B$3</f>
        <v>25</v>
      </c>
      <c r="E39" s="26">
        <f t="shared" ref="E39:L39" si="18">1/$B$3</f>
        <v>25</v>
      </c>
      <c r="F39" s="26">
        <f t="shared" si="18"/>
        <v>25</v>
      </c>
      <c r="G39" s="26">
        <f t="shared" si="18"/>
        <v>25</v>
      </c>
      <c r="H39" s="26">
        <f t="shared" si="18"/>
        <v>25</v>
      </c>
      <c r="I39" s="26">
        <f t="shared" si="18"/>
        <v>25</v>
      </c>
      <c r="J39" s="36"/>
      <c r="K39" s="36"/>
      <c r="L39" s="36"/>
      <c r="M39" s="36"/>
    </row>
    <row r="40" spans="1:13" x14ac:dyDescent="0.25">
      <c r="A40" s="1" t="s">
        <v>115</v>
      </c>
      <c r="D40" s="25">
        <f>D9*D39</f>
        <v>11174.476500000001</v>
      </c>
      <c r="E40" s="25">
        <f t="shared" ref="E40:G40" si="19">E9*E39</f>
        <v>9197.1</v>
      </c>
      <c r="F40" s="25">
        <f t="shared" si="19"/>
        <v>13795.650000000001</v>
      </c>
      <c r="G40" s="25">
        <f t="shared" si="19"/>
        <v>8783.2304999999997</v>
      </c>
      <c r="H40" s="25">
        <f t="shared" ref="H40" si="20">H9*H39</f>
        <v>23667.357284999998</v>
      </c>
      <c r="I40" s="25">
        <f t="shared" ref="I40" si="21">I9*I39</f>
        <v>7741.6589249999988</v>
      </c>
      <c r="J40" s="37"/>
      <c r="K40" s="37"/>
      <c r="L40" s="37"/>
      <c r="M40" s="36"/>
    </row>
    <row r="41" spans="1:13" x14ac:dyDescent="0.25">
      <c r="A41" t="s">
        <v>110</v>
      </c>
      <c r="D41" s="25">
        <f>D23*D39</f>
        <v>5491.6605555555552</v>
      </c>
      <c r="E41" s="25">
        <f t="shared" ref="E41:G41" si="22">E23*E39</f>
        <v>5491.6605555555552</v>
      </c>
      <c r="F41" s="25">
        <f t="shared" si="22"/>
        <v>5491.6605555555552</v>
      </c>
      <c r="G41" s="25">
        <f t="shared" si="22"/>
        <v>5491.6605555555552</v>
      </c>
      <c r="H41" s="25">
        <f t="shared" ref="H41:I41" si="23">H23*H39</f>
        <v>5491.6605555555552</v>
      </c>
      <c r="I41" s="25">
        <f t="shared" si="23"/>
        <v>5491.6605555555552</v>
      </c>
      <c r="J41" s="37"/>
      <c r="K41" s="37"/>
      <c r="L41" s="37"/>
      <c r="M41" s="36"/>
    </row>
    <row r="42" spans="1:13" ht="15.75" thickBot="1" x14ac:dyDescent="0.3">
      <c r="A42" s="1" t="s">
        <v>83</v>
      </c>
      <c r="D42" s="23">
        <f>D40-D41</f>
        <v>5682.8159444444454</v>
      </c>
      <c r="E42" s="23">
        <f t="shared" ref="E42:G42" si="24">E40-E41</f>
        <v>3705.4394444444451</v>
      </c>
      <c r="F42" s="23">
        <f t="shared" si="24"/>
        <v>8303.9894444444471</v>
      </c>
      <c r="G42" s="23">
        <f t="shared" si="24"/>
        <v>3291.5699444444444</v>
      </c>
      <c r="H42" s="23">
        <f t="shared" ref="H42" si="25">H40-H41</f>
        <v>18175.696729444444</v>
      </c>
      <c r="I42" s="23">
        <f t="shared" ref="I42" si="26">I40-I41</f>
        <v>2249.9983694444436</v>
      </c>
      <c r="J42" s="38"/>
      <c r="K42" s="38"/>
      <c r="L42" s="38"/>
      <c r="M42" s="36"/>
    </row>
    <row r="43" spans="1:13" ht="15.75" thickTop="1" x14ac:dyDescent="0.25">
      <c r="A43" t="s">
        <v>116</v>
      </c>
      <c r="D43" s="25">
        <f>D34*D39</f>
        <v>1441.3732166666664</v>
      </c>
      <c r="E43" s="25">
        <f t="shared" ref="E43:G43" si="27">E34*E39</f>
        <v>1441.3732166666664</v>
      </c>
      <c r="F43" s="25">
        <f t="shared" si="27"/>
        <v>1441.3732166666664</v>
      </c>
      <c r="G43" s="25">
        <f t="shared" si="27"/>
        <v>1441.3732166666664</v>
      </c>
      <c r="H43" s="25">
        <f t="shared" ref="H43:I43" si="28">H34*H39</f>
        <v>1441.3732166666664</v>
      </c>
      <c r="I43" s="25">
        <f t="shared" si="28"/>
        <v>1441.3732166666664</v>
      </c>
      <c r="J43" s="37"/>
      <c r="K43" s="37"/>
      <c r="L43" s="37"/>
      <c r="M43" s="36"/>
    </row>
    <row r="44" spans="1:13" ht="15.75" thickBot="1" x14ac:dyDescent="0.3">
      <c r="A44" s="1" t="s">
        <v>111</v>
      </c>
      <c r="D44" s="23">
        <f>D42-D43</f>
        <v>4241.4427277777795</v>
      </c>
      <c r="E44" s="23">
        <f t="shared" ref="E44:G44" si="29">E42-E43</f>
        <v>2264.0662277777787</v>
      </c>
      <c r="F44" s="23">
        <f t="shared" si="29"/>
        <v>6862.6162277777803</v>
      </c>
      <c r="G44" s="23">
        <f t="shared" si="29"/>
        <v>1850.1967277777781</v>
      </c>
      <c r="H44" s="23">
        <f t="shared" ref="H44" si="30">H42-H43</f>
        <v>16734.323512777777</v>
      </c>
      <c r="I44" s="23">
        <f t="shared" ref="I44" si="31">I42-I43</f>
        <v>808.6251527777772</v>
      </c>
      <c r="J44" s="38"/>
      <c r="K44" s="38"/>
      <c r="L44" s="38"/>
      <c r="M44" s="36"/>
    </row>
    <row r="45" spans="1:13" ht="15.75" thickTop="1" x14ac:dyDescent="0.25">
      <c r="A45" t="s">
        <v>108</v>
      </c>
      <c r="H45" s="40"/>
      <c r="I45" s="40"/>
    </row>
    <row r="46" spans="1:13" x14ac:dyDescent="0.25">
      <c r="H46" s="40"/>
      <c r="I46" s="40"/>
    </row>
  </sheetData>
  <mergeCells count="1">
    <mergeCell ref="E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180" zoomScaleNormal="180" workbookViewId="0">
      <selection activeCell="F4" sqref="F4"/>
    </sheetView>
  </sheetViews>
  <sheetFormatPr defaultRowHeight="15" x14ac:dyDescent="0.25"/>
  <cols>
    <col min="1" max="1" width="28.7109375" customWidth="1"/>
    <col min="2" max="2" width="9.85546875" customWidth="1"/>
    <col min="3" max="3" width="14.85546875" customWidth="1"/>
    <col min="4" max="4" width="12" customWidth="1"/>
    <col min="5" max="5" width="11.5703125" customWidth="1"/>
    <col min="6" max="6" width="11.7109375" customWidth="1"/>
    <col min="7" max="7" width="12.5703125" customWidth="1"/>
    <col min="8" max="8" width="11.7109375" customWidth="1"/>
    <col min="9" max="9" width="11.28515625" customWidth="1"/>
    <col min="10" max="10" width="12.140625" customWidth="1"/>
    <col min="11" max="11" width="15" customWidth="1"/>
    <col min="12" max="12" width="12.5703125" customWidth="1"/>
  </cols>
  <sheetData>
    <row r="1" spans="1:9" x14ac:dyDescent="0.25">
      <c r="G1" t="s">
        <v>1</v>
      </c>
      <c r="H1">
        <v>1.2024999999999999</v>
      </c>
      <c r="I1" t="s">
        <v>8</v>
      </c>
    </row>
    <row r="2" spans="1:9" x14ac:dyDescent="0.25">
      <c r="A2" t="s">
        <v>13</v>
      </c>
      <c r="B2" s="4">
        <f>(1/25)*(1860/5400)</f>
        <v>1.3777777777777778E-2</v>
      </c>
      <c r="H2">
        <v>1.2294</v>
      </c>
      <c r="I2" t="s">
        <v>9</v>
      </c>
    </row>
    <row r="3" spans="1:9" x14ac:dyDescent="0.25">
      <c r="A3" t="s">
        <v>82</v>
      </c>
      <c r="B3" s="4">
        <f>60/1500</f>
        <v>0.04</v>
      </c>
    </row>
    <row r="5" spans="1:9" x14ac:dyDescent="0.25">
      <c r="A5" s="1" t="s">
        <v>6</v>
      </c>
      <c r="B5" s="1"/>
      <c r="C5" s="1"/>
    </row>
    <row r="6" spans="1:9" x14ac:dyDescent="0.25">
      <c r="D6" t="s">
        <v>124</v>
      </c>
      <c r="E6" s="39" t="s">
        <v>125</v>
      </c>
      <c r="F6" s="39"/>
      <c r="G6" s="1" t="s">
        <v>127</v>
      </c>
      <c r="H6" s="28"/>
      <c r="I6" s="28"/>
    </row>
    <row r="7" spans="1:9" ht="15.75" thickBot="1" x14ac:dyDescent="0.3">
      <c r="A7" s="3" t="s">
        <v>4</v>
      </c>
      <c r="B7" s="3"/>
      <c r="C7" s="3"/>
      <c r="D7" s="3" t="s">
        <v>5</v>
      </c>
      <c r="E7" s="3" t="s">
        <v>5</v>
      </c>
      <c r="F7" s="3" t="s">
        <v>5</v>
      </c>
      <c r="G7" s="3" t="s">
        <v>128</v>
      </c>
      <c r="H7" s="3" t="s">
        <v>129</v>
      </c>
      <c r="I7" s="3" t="s">
        <v>130</v>
      </c>
    </row>
    <row r="8" spans="1:9" x14ac:dyDescent="0.25">
      <c r="A8" t="s">
        <v>2</v>
      </c>
      <c r="D8" s="4">
        <v>3.99</v>
      </c>
      <c r="E8" s="4">
        <v>5</v>
      </c>
      <c r="F8" s="4">
        <v>10</v>
      </c>
      <c r="G8" s="20">
        <v>8.09</v>
      </c>
      <c r="H8" s="20">
        <f>8.36*H1</f>
        <v>10.052899999999999</v>
      </c>
      <c r="I8" s="20">
        <f>3.82*H1</f>
        <v>4.5935499999999996</v>
      </c>
    </row>
    <row r="9" spans="1:9" x14ac:dyDescent="0.25">
      <c r="A9" t="s">
        <v>3</v>
      </c>
      <c r="D9" s="21">
        <v>44</v>
      </c>
      <c r="E9" s="22">
        <f>D9</f>
        <v>44</v>
      </c>
      <c r="F9" s="22">
        <f>D9</f>
        <v>44</v>
      </c>
      <c r="G9" s="22">
        <f>+F9</f>
        <v>44</v>
      </c>
      <c r="H9" s="22">
        <f t="shared" ref="H9:I9" si="0">+G9</f>
        <v>44</v>
      </c>
      <c r="I9" s="22">
        <f t="shared" si="0"/>
        <v>44</v>
      </c>
    </row>
    <row r="10" spans="1:9" ht="15.75" thickBot="1" x14ac:dyDescent="0.3">
      <c r="A10" s="1" t="s">
        <v>0</v>
      </c>
      <c r="B10" s="1"/>
      <c r="C10" s="1"/>
      <c r="D10" s="24">
        <f>D8*D9</f>
        <v>175.56</v>
      </c>
      <c r="E10" s="24">
        <f t="shared" ref="E10:F10" si="1">E8*E9</f>
        <v>220</v>
      </c>
      <c r="F10" s="24">
        <f t="shared" si="1"/>
        <v>440</v>
      </c>
      <c r="G10" s="24">
        <f>G8*G9</f>
        <v>355.96</v>
      </c>
      <c r="H10" s="24">
        <f t="shared" ref="H10:I10" si="2">H8*H9</f>
        <v>442.32759999999996</v>
      </c>
      <c r="I10" s="24">
        <f t="shared" si="2"/>
        <v>202.11619999999999</v>
      </c>
    </row>
    <row r="11" spans="1:9" ht="15.75" thickTop="1" x14ac:dyDescent="0.25"/>
    <row r="12" spans="1:9" x14ac:dyDescent="0.25">
      <c r="A12" s="1" t="s">
        <v>7</v>
      </c>
      <c r="B12" s="1" t="s">
        <v>11</v>
      </c>
      <c r="C12" s="1" t="s">
        <v>12</v>
      </c>
    </row>
    <row r="13" spans="1:9" x14ac:dyDescent="0.25">
      <c r="A13" t="s">
        <v>10</v>
      </c>
      <c r="B13" s="14">
        <v>250</v>
      </c>
      <c r="C13" s="9">
        <f>B13*B2</f>
        <v>3.4444444444444446</v>
      </c>
      <c r="D13" s="2">
        <f>$C13</f>
        <v>3.4444444444444446</v>
      </c>
      <c r="E13" s="2">
        <f>D13</f>
        <v>3.4444444444444446</v>
      </c>
      <c r="F13" s="2">
        <f>D13</f>
        <v>3.4444444444444446</v>
      </c>
      <c r="G13" s="2">
        <f>+D13</f>
        <v>3.4444444444444446</v>
      </c>
      <c r="H13" s="2">
        <f t="shared" ref="H13:I23" si="3">+E13</f>
        <v>3.4444444444444446</v>
      </c>
      <c r="I13" s="2">
        <f t="shared" si="3"/>
        <v>3.4444444444444446</v>
      </c>
    </row>
    <row r="14" spans="1:9" x14ac:dyDescent="0.25">
      <c r="A14" s="12" t="s">
        <v>44</v>
      </c>
      <c r="B14" s="9"/>
      <c r="C14" s="9"/>
      <c r="D14" s="4">
        <v>4</v>
      </c>
      <c r="E14" s="2">
        <f>D14</f>
        <v>4</v>
      </c>
      <c r="F14" s="2">
        <f>D14</f>
        <v>4</v>
      </c>
      <c r="G14" s="2">
        <f t="shared" ref="G14:G23" si="4">+D14</f>
        <v>4</v>
      </c>
      <c r="H14" s="2">
        <f t="shared" si="3"/>
        <v>4</v>
      </c>
      <c r="I14" s="2">
        <f t="shared" si="3"/>
        <v>4</v>
      </c>
    </row>
    <row r="15" spans="1:9" x14ac:dyDescent="0.25">
      <c r="A15" s="12" t="s">
        <v>45</v>
      </c>
      <c r="B15" s="14">
        <v>35.950000000000003</v>
      </c>
      <c r="C15" s="9">
        <f>B15*$B$2</f>
        <v>0.49531111111111115</v>
      </c>
      <c r="D15" s="2">
        <f>$C15</f>
        <v>0.49531111111111115</v>
      </c>
      <c r="E15" s="2">
        <f>D15</f>
        <v>0.49531111111111115</v>
      </c>
      <c r="F15" s="2">
        <f>D15</f>
        <v>0.49531111111111115</v>
      </c>
      <c r="G15" s="2">
        <f t="shared" si="4"/>
        <v>0.49531111111111115</v>
      </c>
      <c r="H15" s="2">
        <f t="shared" si="3"/>
        <v>0.49531111111111115</v>
      </c>
      <c r="I15" s="2">
        <f t="shared" si="3"/>
        <v>0.49531111111111115</v>
      </c>
    </row>
    <row r="16" spans="1:9" x14ac:dyDescent="0.25">
      <c r="A16" s="12" t="s">
        <v>56</v>
      </c>
      <c r="B16" s="4">
        <v>5</v>
      </c>
      <c r="C16" s="9">
        <f>B16*$B$2</f>
        <v>6.8888888888888888E-2</v>
      </c>
      <c r="D16" s="2">
        <f t="shared" ref="D16:D21" si="5">$C16</f>
        <v>6.8888888888888888E-2</v>
      </c>
      <c r="E16" s="2">
        <f>D16</f>
        <v>6.8888888888888888E-2</v>
      </c>
      <c r="F16" s="2">
        <f>D16</f>
        <v>6.8888888888888888E-2</v>
      </c>
      <c r="G16" s="2">
        <f t="shared" si="4"/>
        <v>6.8888888888888888E-2</v>
      </c>
      <c r="H16" s="2">
        <f t="shared" si="3"/>
        <v>6.8888888888888888E-2</v>
      </c>
      <c r="I16" s="2">
        <f t="shared" si="3"/>
        <v>6.8888888888888888E-2</v>
      </c>
    </row>
    <row r="17" spans="1:9" x14ac:dyDescent="0.25">
      <c r="A17" s="12" t="s">
        <v>57</v>
      </c>
      <c r="B17" s="4">
        <v>35</v>
      </c>
      <c r="C17" s="9">
        <f>B17*$B$2</f>
        <v>0.48222222222222222</v>
      </c>
      <c r="D17" s="2">
        <f t="shared" si="5"/>
        <v>0.48222222222222222</v>
      </c>
      <c r="E17" s="2">
        <f>D17</f>
        <v>0.48222222222222222</v>
      </c>
      <c r="F17" s="2">
        <f>D17</f>
        <v>0.48222222222222222</v>
      </c>
      <c r="G17" s="2">
        <f t="shared" si="4"/>
        <v>0.48222222222222222</v>
      </c>
      <c r="H17" s="2">
        <f t="shared" si="3"/>
        <v>0.48222222222222222</v>
      </c>
      <c r="I17" s="2">
        <f t="shared" si="3"/>
        <v>0.48222222222222222</v>
      </c>
    </row>
    <row r="18" spans="1:9" x14ac:dyDescent="0.25">
      <c r="A18" s="12" t="s">
        <v>85</v>
      </c>
      <c r="B18" s="4">
        <v>65</v>
      </c>
      <c r="C18" s="9">
        <f>B18*$B$2</f>
        <v>0.89555555555555555</v>
      </c>
      <c r="D18" s="2">
        <f t="shared" si="5"/>
        <v>0.89555555555555555</v>
      </c>
      <c r="E18" s="2">
        <f>D18</f>
        <v>0.89555555555555555</v>
      </c>
      <c r="F18" s="2">
        <f>D18</f>
        <v>0.89555555555555555</v>
      </c>
      <c r="G18" s="2">
        <f t="shared" si="4"/>
        <v>0.89555555555555555</v>
      </c>
      <c r="H18" s="2">
        <f t="shared" si="3"/>
        <v>0.89555555555555555</v>
      </c>
      <c r="I18" s="2">
        <f t="shared" si="3"/>
        <v>0.89555555555555555</v>
      </c>
    </row>
    <row r="19" spans="1:9" x14ac:dyDescent="0.25">
      <c r="A19" s="30" t="s">
        <v>58</v>
      </c>
      <c r="B19" s="31">
        <v>125</v>
      </c>
      <c r="C19" s="32">
        <f>B19*$B$3</f>
        <v>5</v>
      </c>
      <c r="D19" s="2">
        <f t="shared" si="5"/>
        <v>5</v>
      </c>
      <c r="E19" s="2">
        <f>D19</f>
        <v>5</v>
      </c>
      <c r="F19" s="2">
        <f>D19</f>
        <v>5</v>
      </c>
      <c r="G19" s="2">
        <f t="shared" si="4"/>
        <v>5</v>
      </c>
      <c r="H19" s="2">
        <f t="shared" si="3"/>
        <v>5</v>
      </c>
      <c r="I19" s="2">
        <f t="shared" si="3"/>
        <v>5</v>
      </c>
    </row>
    <row r="20" spans="1:9" x14ac:dyDescent="0.25">
      <c r="A20" s="18" t="s">
        <v>107</v>
      </c>
      <c r="B20" s="16">
        <f>(50*0.5+10)*10+150</f>
        <v>500</v>
      </c>
      <c r="C20" s="17">
        <f>B20*$B$3</f>
        <v>20</v>
      </c>
      <c r="D20" s="2">
        <f t="shared" si="5"/>
        <v>20</v>
      </c>
      <c r="E20" s="2">
        <f>D20</f>
        <v>20</v>
      </c>
      <c r="F20" s="2">
        <f>D20</f>
        <v>20</v>
      </c>
      <c r="G20" s="2">
        <f t="shared" si="4"/>
        <v>20</v>
      </c>
      <c r="H20" s="2">
        <f t="shared" si="3"/>
        <v>20</v>
      </c>
      <c r="I20" s="2">
        <f t="shared" si="3"/>
        <v>20</v>
      </c>
    </row>
    <row r="21" spans="1:9" x14ac:dyDescent="0.25">
      <c r="A21" s="18" t="s">
        <v>109</v>
      </c>
      <c r="B21" s="16">
        <v>0</v>
      </c>
      <c r="C21" s="17">
        <f>B21*$B$2</f>
        <v>0</v>
      </c>
      <c r="D21" s="2">
        <f t="shared" si="5"/>
        <v>0</v>
      </c>
      <c r="E21" s="2">
        <f>D21</f>
        <v>0</v>
      </c>
      <c r="F21" s="2">
        <f>D21</f>
        <v>0</v>
      </c>
      <c r="G21" s="2">
        <f t="shared" si="4"/>
        <v>0</v>
      </c>
      <c r="H21" s="2">
        <f t="shared" si="3"/>
        <v>0</v>
      </c>
      <c r="I21" s="2">
        <f t="shared" si="3"/>
        <v>0</v>
      </c>
    </row>
    <row r="22" spans="1:9" x14ac:dyDescent="0.25">
      <c r="A22" s="30" t="s">
        <v>105</v>
      </c>
      <c r="B22" s="34"/>
      <c r="C22" s="33">
        <v>35</v>
      </c>
      <c r="D22" s="2">
        <f>$C22</f>
        <v>35</v>
      </c>
      <c r="E22" s="2">
        <f>D22</f>
        <v>35</v>
      </c>
      <c r="F22" s="2">
        <f>D22</f>
        <v>35</v>
      </c>
      <c r="G22" s="2">
        <f t="shared" si="4"/>
        <v>35</v>
      </c>
      <c r="H22" s="2">
        <f t="shared" si="3"/>
        <v>35</v>
      </c>
      <c r="I22" s="2">
        <f t="shared" si="3"/>
        <v>35</v>
      </c>
    </row>
    <row r="23" spans="1:9" x14ac:dyDescent="0.25">
      <c r="A23" t="s">
        <v>59</v>
      </c>
      <c r="C23" s="4">
        <f>101.68*0</f>
        <v>0</v>
      </c>
      <c r="D23" s="2">
        <f>C23</f>
        <v>0</v>
      </c>
      <c r="E23" s="2">
        <f>D23</f>
        <v>0</v>
      </c>
      <c r="F23" s="2">
        <f>D23</f>
        <v>0</v>
      </c>
      <c r="G23" s="2">
        <f t="shared" si="4"/>
        <v>0</v>
      </c>
      <c r="H23" s="2">
        <f t="shared" si="3"/>
        <v>0</v>
      </c>
      <c r="I23" s="2">
        <f t="shared" si="3"/>
        <v>0</v>
      </c>
    </row>
    <row r="24" spans="1:9" x14ac:dyDescent="0.25">
      <c r="A24" s="1" t="s">
        <v>110</v>
      </c>
      <c r="B24" s="1"/>
      <c r="C24" s="1"/>
      <c r="D24" s="19">
        <f>SUM(D13:D23)</f>
        <v>69.386422222222222</v>
      </c>
      <c r="E24" s="19">
        <f t="shared" ref="E24" si="6">SUM(E13:E23)</f>
        <v>69.386422222222222</v>
      </c>
      <c r="F24" s="19">
        <f t="shared" ref="F24:I24" si="7">SUM(F13:F23)</f>
        <v>69.386422222222222</v>
      </c>
      <c r="G24" s="19">
        <f t="shared" si="7"/>
        <v>69.386422222222222</v>
      </c>
      <c r="H24" s="19">
        <f t="shared" ref="H24:I24" si="8">SUM(H13:H23)</f>
        <v>69.386422222222222</v>
      </c>
      <c r="I24" s="19">
        <f t="shared" si="8"/>
        <v>69.386422222222222</v>
      </c>
    </row>
    <row r="25" spans="1:9" x14ac:dyDescent="0.25">
      <c r="A25" s="1" t="s">
        <v>83</v>
      </c>
      <c r="B25" s="1"/>
      <c r="C25" s="1"/>
      <c r="D25" s="19">
        <f>D10-D24</f>
        <v>106.17357777777778</v>
      </c>
      <c r="E25" s="19">
        <f t="shared" ref="E25:I25" si="9">E10-E24</f>
        <v>150.61357777777778</v>
      </c>
      <c r="F25" s="19">
        <f t="shared" si="9"/>
        <v>370.61357777777778</v>
      </c>
      <c r="G25" s="19">
        <f t="shared" si="9"/>
        <v>286.57357777777776</v>
      </c>
      <c r="H25" s="19">
        <f t="shared" ref="H25:I25" si="10">H10-H24</f>
        <v>372.94117777777774</v>
      </c>
      <c r="I25" s="19">
        <f t="shared" si="10"/>
        <v>132.72977777777777</v>
      </c>
    </row>
    <row r="27" spans="1:9" x14ac:dyDescent="0.25">
      <c r="A27" s="1" t="s">
        <v>104</v>
      </c>
    </row>
    <row r="28" spans="1:9" x14ac:dyDescent="0.25">
      <c r="A28" t="s">
        <v>101</v>
      </c>
      <c r="C28" s="2">
        <f>'Initial Start up costs'!D15</f>
        <v>0.14976444444444445</v>
      </c>
      <c r="D28" s="2">
        <f>C28</f>
        <v>0.14976444444444445</v>
      </c>
      <c r="E28" s="2">
        <f>D28</f>
        <v>0.14976444444444445</v>
      </c>
      <c r="F28" s="2">
        <f>D28</f>
        <v>0.14976444444444445</v>
      </c>
      <c r="G28" s="2">
        <f>+D28</f>
        <v>0.14976444444444445</v>
      </c>
      <c r="H28" s="2">
        <f t="shared" ref="H28:I34" si="11">+E28</f>
        <v>0.14976444444444445</v>
      </c>
      <c r="I28" s="2">
        <f t="shared" si="11"/>
        <v>0.14976444444444445</v>
      </c>
    </row>
    <row r="29" spans="1:9" x14ac:dyDescent="0.25">
      <c r="A29" t="s">
        <v>30</v>
      </c>
      <c r="C29" s="2">
        <f>'Initial Start up costs'!D23</f>
        <v>0.52214333333333329</v>
      </c>
      <c r="D29" s="2">
        <f t="shared" ref="D29:D33" si="12">C29</f>
        <v>0.52214333333333329</v>
      </c>
      <c r="E29" s="2">
        <f>D29</f>
        <v>0.52214333333333329</v>
      </c>
      <c r="F29" s="2">
        <f>D29</f>
        <v>0.52214333333333329</v>
      </c>
      <c r="G29" s="2">
        <f t="shared" ref="G29:G34" si="13">+D29</f>
        <v>0.52214333333333329</v>
      </c>
      <c r="H29" s="2">
        <f t="shared" si="11"/>
        <v>0.52214333333333329</v>
      </c>
      <c r="I29" s="2">
        <f t="shared" si="11"/>
        <v>0.52214333333333329</v>
      </c>
    </row>
    <row r="30" spans="1:9" x14ac:dyDescent="0.25">
      <c r="A30" t="s">
        <v>40</v>
      </c>
      <c r="C30" s="2">
        <f>'Initial Start up costs'!D31</f>
        <v>4.7183102222222226</v>
      </c>
      <c r="D30" s="2">
        <f t="shared" si="12"/>
        <v>4.7183102222222226</v>
      </c>
      <c r="E30" s="2">
        <f>D30</f>
        <v>4.7183102222222226</v>
      </c>
      <c r="F30" s="2">
        <f>D30</f>
        <v>4.7183102222222226</v>
      </c>
      <c r="G30" s="2">
        <f t="shared" si="13"/>
        <v>4.7183102222222226</v>
      </c>
      <c r="H30" s="2">
        <f t="shared" si="11"/>
        <v>4.7183102222222226</v>
      </c>
      <c r="I30" s="2">
        <f t="shared" si="11"/>
        <v>4.7183102222222226</v>
      </c>
    </row>
    <row r="31" spans="1:9" x14ac:dyDescent="0.25">
      <c r="A31" t="s">
        <v>103</v>
      </c>
      <c r="C31" s="2">
        <f>'Initial Start up costs'!D45</f>
        <v>1.0582848888888887</v>
      </c>
      <c r="D31" s="2">
        <f t="shared" si="12"/>
        <v>1.0582848888888887</v>
      </c>
      <c r="E31" s="2">
        <f>D31</f>
        <v>1.0582848888888887</v>
      </c>
      <c r="F31" s="2">
        <f>D31</f>
        <v>1.0582848888888887</v>
      </c>
      <c r="G31" s="2">
        <f t="shared" si="13"/>
        <v>1.0582848888888887</v>
      </c>
      <c r="H31" s="2">
        <f t="shared" si="11"/>
        <v>1.0582848888888887</v>
      </c>
      <c r="I31" s="2">
        <f t="shared" si="11"/>
        <v>1.0582848888888887</v>
      </c>
    </row>
    <row r="32" spans="1:9" x14ac:dyDescent="0.25">
      <c r="A32" t="s">
        <v>86</v>
      </c>
      <c r="C32" s="2">
        <f>'Initial Start up costs'!D53</f>
        <v>0.85309244444444454</v>
      </c>
      <c r="D32" s="2">
        <f t="shared" si="12"/>
        <v>0.85309244444444454</v>
      </c>
      <c r="E32" s="2">
        <f>D32</f>
        <v>0.85309244444444454</v>
      </c>
      <c r="F32" s="2">
        <f>D32</f>
        <v>0.85309244444444454</v>
      </c>
      <c r="G32" s="2">
        <f t="shared" si="13"/>
        <v>0.85309244444444454</v>
      </c>
      <c r="H32" s="2">
        <f t="shared" si="11"/>
        <v>0.85309244444444454</v>
      </c>
      <c r="I32" s="2">
        <f t="shared" si="11"/>
        <v>0.85309244444444454</v>
      </c>
    </row>
    <row r="33" spans="1:12" x14ac:dyDescent="0.25">
      <c r="A33" t="s">
        <v>102</v>
      </c>
      <c r="C33" s="2">
        <f>'Initial Start up costs'!D60</f>
        <v>0.97133333333333338</v>
      </c>
      <c r="D33" s="2">
        <f t="shared" si="12"/>
        <v>0.97133333333333338</v>
      </c>
      <c r="E33" s="2">
        <f>D33</f>
        <v>0.97133333333333338</v>
      </c>
      <c r="F33" s="2">
        <f>D33</f>
        <v>0.97133333333333338</v>
      </c>
      <c r="G33" s="2">
        <f t="shared" si="13"/>
        <v>0.97133333333333338</v>
      </c>
      <c r="H33" s="2">
        <f t="shared" si="11"/>
        <v>0.97133333333333338</v>
      </c>
      <c r="I33" s="2">
        <f t="shared" si="11"/>
        <v>0.97133333333333338</v>
      </c>
    </row>
    <row r="34" spans="1:12" x14ac:dyDescent="0.25">
      <c r="A34" t="s">
        <v>94</v>
      </c>
      <c r="E34" s="2">
        <f>D34</f>
        <v>0</v>
      </c>
      <c r="F34" s="2">
        <f>D34</f>
        <v>0</v>
      </c>
      <c r="G34" s="2">
        <f t="shared" si="13"/>
        <v>0</v>
      </c>
      <c r="H34" s="2">
        <f t="shared" si="11"/>
        <v>0</v>
      </c>
      <c r="I34" s="2">
        <f t="shared" si="11"/>
        <v>0</v>
      </c>
    </row>
    <row r="35" spans="1:12" x14ac:dyDescent="0.25">
      <c r="A35" s="1" t="s">
        <v>106</v>
      </c>
      <c r="C35" s="19">
        <f>SUM(C28:C34)</f>
        <v>8.272928666666667</v>
      </c>
      <c r="D35" s="19">
        <f t="shared" ref="D35:I35" si="14">SUM(D28:D34)</f>
        <v>8.272928666666667</v>
      </c>
      <c r="E35" s="19">
        <f t="shared" si="14"/>
        <v>8.272928666666667</v>
      </c>
      <c r="F35" s="19">
        <f t="shared" si="14"/>
        <v>8.272928666666667</v>
      </c>
      <c r="G35" s="19">
        <f t="shared" si="14"/>
        <v>8.272928666666667</v>
      </c>
      <c r="H35" s="19">
        <f t="shared" ref="H35:I35" si="15">SUM(H28:H34)</f>
        <v>8.272928666666667</v>
      </c>
      <c r="I35" s="19">
        <f t="shared" si="15"/>
        <v>8.272928666666667</v>
      </c>
    </row>
    <row r="36" spans="1:12" x14ac:dyDescent="0.25">
      <c r="A36" t="s">
        <v>111</v>
      </c>
      <c r="D36" s="2">
        <f>D25-D35</f>
        <v>97.900649111111107</v>
      </c>
      <c r="E36" s="2">
        <f t="shared" ref="E36:I36" si="16">E25-E35</f>
        <v>142.34064911111111</v>
      </c>
      <c r="F36" s="2">
        <f t="shared" si="16"/>
        <v>362.34064911111113</v>
      </c>
      <c r="G36" s="2">
        <f t="shared" si="16"/>
        <v>278.30064911111111</v>
      </c>
      <c r="H36" s="2">
        <f t="shared" ref="H36:I36" si="17">H25-H35</f>
        <v>364.66824911111109</v>
      </c>
      <c r="I36" s="2">
        <f t="shared" si="17"/>
        <v>124.4568491111111</v>
      </c>
    </row>
    <row r="37" spans="1:12" x14ac:dyDescent="0.25">
      <c r="A37" t="s">
        <v>112</v>
      </c>
    </row>
    <row r="39" spans="1:12" ht="18.75" x14ac:dyDescent="0.3">
      <c r="A39" s="27" t="s">
        <v>113</v>
      </c>
      <c r="J39" s="36"/>
      <c r="K39" s="36"/>
      <c r="L39" s="36"/>
    </row>
    <row r="40" spans="1:12" x14ac:dyDescent="0.25">
      <c r="A40" t="s">
        <v>114</v>
      </c>
      <c r="D40" s="26">
        <f>1/$B$3</f>
        <v>25</v>
      </c>
      <c r="E40" s="26">
        <f t="shared" ref="E40:L40" si="18">1/$B$3</f>
        <v>25</v>
      </c>
      <c r="F40" s="26">
        <f t="shared" si="18"/>
        <v>25</v>
      </c>
      <c r="G40" s="26">
        <f t="shared" si="18"/>
        <v>25</v>
      </c>
      <c r="H40" s="26">
        <f t="shared" si="18"/>
        <v>25</v>
      </c>
      <c r="I40" s="26">
        <f t="shared" si="18"/>
        <v>25</v>
      </c>
      <c r="J40" s="36"/>
      <c r="K40" s="36"/>
      <c r="L40" s="36"/>
    </row>
    <row r="41" spans="1:12" x14ac:dyDescent="0.25">
      <c r="A41" s="1" t="s">
        <v>115</v>
      </c>
      <c r="D41" s="25">
        <f>D10*D40</f>
        <v>4389</v>
      </c>
      <c r="E41" s="25">
        <f t="shared" ref="E41:G41" si="19">E10*E40</f>
        <v>5500</v>
      </c>
      <c r="F41" s="25">
        <f t="shared" si="19"/>
        <v>11000</v>
      </c>
      <c r="G41" s="25">
        <f t="shared" si="19"/>
        <v>8899</v>
      </c>
      <c r="H41" s="25">
        <f t="shared" ref="H41" si="20">H10*H40</f>
        <v>11058.189999999999</v>
      </c>
      <c r="I41" s="25">
        <f t="shared" ref="I41" si="21">I10*I40</f>
        <v>5052.9049999999997</v>
      </c>
      <c r="J41" s="37"/>
      <c r="K41" s="37"/>
      <c r="L41" s="37"/>
    </row>
    <row r="42" spans="1:12" x14ac:dyDescent="0.25">
      <c r="A42" t="s">
        <v>110</v>
      </c>
      <c r="D42" s="25">
        <f>D24*D40</f>
        <v>1734.6605555555557</v>
      </c>
      <c r="E42" s="25">
        <f t="shared" ref="E42:G42" si="22">E24*E40</f>
        <v>1734.6605555555557</v>
      </c>
      <c r="F42" s="25">
        <f t="shared" si="22"/>
        <v>1734.6605555555557</v>
      </c>
      <c r="G42" s="25">
        <f t="shared" si="22"/>
        <v>1734.6605555555557</v>
      </c>
      <c r="H42" s="25">
        <f t="shared" ref="H42:I42" si="23">H24*H40</f>
        <v>1734.6605555555557</v>
      </c>
      <c r="I42" s="25">
        <f t="shared" si="23"/>
        <v>1734.6605555555557</v>
      </c>
      <c r="J42" s="37"/>
      <c r="K42" s="37"/>
      <c r="L42" s="37"/>
    </row>
    <row r="43" spans="1:12" ht="15.75" thickBot="1" x14ac:dyDescent="0.3">
      <c r="A43" s="1" t="s">
        <v>83</v>
      </c>
      <c r="D43" s="23">
        <f>D41-D42</f>
        <v>2654.3394444444443</v>
      </c>
      <c r="E43" s="23">
        <f t="shared" ref="E43:G43" si="24">E41-E42</f>
        <v>3765.3394444444443</v>
      </c>
      <c r="F43" s="23">
        <f t="shared" si="24"/>
        <v>9265.3394444444439</v>
      </c>
      <c r="G43" s="23">
        <f t="shared" si="24"/>
        <v>7164.3394444444439</v>
      </c>
      <c r="H43" s="23">
        <f t="shared" ref="H43" si="25">H41-H42</f>
        <v>9323.5294444444426</v>
      </c>
      <c r="I43" s="23">
        <f t="shared" ref="I43" si="26">I41-I42</f>
        <v>3318.2444444444441</v>
      </c>
      <c r="J43" s="38"/>
      <c r="K43" s="38"/>
      <c r="L43" s="38"/>
    </row>
    <row r="44" spans="1:12" ht="15.75" thickTop="1" x14ac:dyDescent="0.25">
      <c r="A44" t="s">
        <v>116</v>
      </c>
      <c r="D44" s="25">
        <f>D35*D40</f>
        <v>206.82321666666667</v>
      </c>
      <c r="E44" s="25">
        <f t="shared" ref="E44:G44" si="27">E35*E40</f>
        <v>206.82321666666667</v>
      </c>
      <c r="F44" s="25">
        <f t="shared" si="27"/>
        <v>206.82321666666667</v>
      </c>
      <c r="G44" s="25">
        <f t="shared" si="27"/>
        <v>206.82321666666667</v>
      </c>
      <c r="H44" s="25">
        <f t="shared" ref="H44:I44" si="28">H35*H40</f>
        <v>206.82321666666667</v>
      </c>
      <c r="I44" s="25">
        <f t="shared" si="28"/>
        <v>206.82321666666667</v>
      </c>
      <c r="J44" s="37"/>
      <c r="K44" s="37"/>
      <c r="L44" s="37"/>
    </row>
    <row r="45" spans="1:12" ht="15.75" thickBot="1" x14ac:dyDescent="0.3">
      <c r="A45" s="1" t="s">
        <v>111</v>
      </c>
      <c r="D45" s="23">
        <f>D43-D44</f>
        <v>2447.5162277777777</v>
      </c>
      <c r="E45" s="23">
        <f t="shared" ref="E45:G45" si="29">E43-E44</f>
        <v>3558.5162277777777</v>
      </c>
      <c r="F45" s="23">
        <f t="shared" si="29"/>
        <v>9058.5162277777781</v>
      </c>
      <c r="G45" s="23">
        <f t="shared" si="29"/>
        <v>6957.5162277777772</v>
      </c>
      <c r="H45" s="23">
        <f t="shared" ref="H45" si="30">H43-H44</f>
        <v>9116.7062277777768</v>
      </c>
      <c r="I45" s="23">
        <f t="shared" ref="I45" si="31">I43-I44</f>
        <v>3111.4212277777774</v>
      </c>
      <c r="J45" s="38"/>
      <c r="K45" s="38"/>
      <c r="L45" s="38"/>
    </row>
    <row r="46" spans="1:12" ht="15.75" thickTop="1" x14ac:dyDescent="0.25">
      <c r="A46" t="s">
        <v>108</v>
      </c>
      <c r="H46" s="36"/>
      <c r="I46" s="36"/>
      <c r="J46" s="36"/>
      <c r="K46" s="36"/>
      <c r="L46" s="36"/>
    </row>
  </sheetData>
  <mergeCells count="1">
    <mergeCell ref="E6:F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60" zoomScaleNormal="160" workbookViewId="0">
      <selection activeCell="A20" sqref="A20"/>
    </sheetView>
  </sheetViews>
  <sheetFormatPr defaultRowHeight="15" x14ac:dyDescent="0.25"/>
  <cols>
    <col min="1" max="1" width="29.28515625" customWidth="1"/>
    <col min="2" max="2" width="20.140625" customWidth="1"/>
    <col min="3" max="3" width="12.140625" bestFit="1" customWidth="1"/>
    <col min="4" max="4" width="11.42578125" customWidth="1"/>
    <col min="5" max="5" width="13.140625" bestFit="1" customWidth="1"/>
  </cols>
  <sheetData>
    <row r="1" spans="1:5" x14ac:dyDescent="0.25">
      <c r="A1" s="1" t="s">
        <v>60</v>
      </c>
    </row>
    <row r="2" spans="1:5" x14ac:dyDescent="0.25">
      <c r="A2" t="s">
        <v>61</v>
      </c>
      <c r="C2" t="s">
        <v>62</v>
      </c>
    </row>
    <row r="3" spans="1:5" x14ac:dyDescent="0.25">
      <c r="A3" t="s">
        <v>63</v>
      </c>
      <c r="C3" t="s">
        <v>64</v>
      </c>
    </row>
    <row r="4" spans="1:5" x14ac:dyDescent="0.25">
      <c r="A4" t="s">
        <v>65</v>
      </c>
      <c r="C4" t="s">
        <v>66</v>
      </c>
    </row>
    <row r="5" spans="1:5" x14ac:dyDescent="0.25">
      <c r="A5" t="s">
        <v>67</v>
      </c>
    </row>
    <row r="6" spans="1:5" x14ac:dyDescent="0.25">
      <c r="A6" t="s">
        <v>68</v>
      </c>
      <c r="C6" t="s">
        <v>69</v>
      </c>
    </row>
    <row r="8" spans="1:5" x14ac:dyDescent="0.25">
      <c r="B8" t="s">
        <v>70</v>
      </c>
      <c r="C8" t="s">
        <v>71</v>
      </c>
      <c r="D8" t="s">
        <v>72</v>
      </c>
      <c r="E8" t="s">
        <v>0</v>
      </c>
    </row>
    <row r="9" spans="1:5" x14ac:dyDescent="0.25">
      <c r="A9" t="s">
        <v>73</v>
      </c>
      <c r="B9">
        <v>340</v>
      </c>
      <c r="C9">
        <v>40</v>
      </c>
      <c r="D9">
        <v>30</v>
      </c>
    </row>
    <row r="10" spans="1:5" x14ac:dyDescent="0.25">
      <c r="A10" t="s">
        <v>74</v>
      </c>
      <c r="B10" s="41">
        <f>1860/5400</f>
        <v>0.34444444444444444</v>
      </c>
      <c r="C10" s="41">
        <f t="shared" ref="C10:D10" si="0">1860/5400</f>
        <v>0.34444444444444444</v>
      </c>
      <c r="D10" s="41">
        <f t="shared" si="0"/>
        <v>0.34444444444444444</v>
      </c>
      <c r="E10" s="41"/>
    </row>
    <row r="11" spans="1:5" x14ac:dyDescent="0.25">
      <c r="A11" t="s">
        <v>75</v>
      </c>
      <c r="B11" s="41">
        <f>B9*B10</f>
        <v>117.11111111111111</v>
      </c>
      <c r="C11" s="41">
        <f t="shared" ref="C11:D11" si="1">C9*C10</f>
        <v>13.777777777777779</v>
      </c>
      <c r="D11" s="41">
        <f t="shared" si="1"/>
        <v>10.333333333333334</v>
      </c>
      <c r="E11" s="41">
        <f>SUM(B11:D11)</f>
        <v>141.22222222222223</v>
      </c>
    </row>
    <row r="12" spans="1:5" x14ac:dyDescent="0.25">
      <c r="A12" t="s">
        <v>76</v>
      </c>
      <c r="B12">
        <v>1500</v>
      </c>
      <c r="C12">
        <v>1500</v>
      </c>
      <c r="D12">
        <v>1500</v>
      </c>
    </row>
    <row r="13" spans="1:5" x14ac:dyDescent="0.25">
      <c r="A13" t="s">
        <v>77</v>
      </c>
      <c r="B13">
        <v>60</v>
      </c>
      <c r="C13">
        <v>60</v>
      </c>
      <c r="D13">
        <v>60</v>
      </c>
    </row>
    <row r="14" spans="1:5" x14ac:dyDescent="0.25">
      <c r="A14" t="s">
        <v>78</v>
      </c>
      <c r="B14">
        <f>B12/B13</f>
        <v>25</v>
      </c>
      <c r="C14">
        <f t="shared" ref="C14:D14" si="2">C12/C13</f>
        <v>25</v>
      </c>
      <c r="D14">
        <f t="shared" si="2"/>
        <v>25</v>
      </c>
    </row>
    <row r="15" spans="1:5" x14ac:dyDescent="0.25">
      <c r="A15" t="s">
        <v>79</v>
      </c>
      <c r="B15" s="41">
        <f>B11/B14</f>
        <v>4.6844444444444449</v>
      </c>
      <c r="C15" s="41">
        <f t="shared" ref="C15:D15" si="3">C11/C14</f>
        <v>0.55111111111111111</v>
      </c>
      <c r="D15" s="41">
        <f t="shared" si="3"/>
        <v>0.41333333333333333</v>
      </c>
      <c r="E15" s="41">
        <f>SUM(B15:D15)</f>
        <v>5.6488888888888891</v>
      </c>
    </row>
    <row r="16" spans="1:5" x14ac:dyDescent="0.25">
      <c r="A16" t="s">
        <v>80</v>
      </c>
      <c r="B16">
        <f>15*1.2</f>
        <v>18</v>
      </c>
      <c r="C16">
        <f t="shared" ref="C16:E16" si="4">15*1.2</f>
        <v>18</v>
      </c>
      <c r="D16">
        <f t="shared" si="4"/>
        <v>18</v>
      </c>
      <c r="E16">
        <f t="shared" si="4"/>
        <v>18</v>
      </c>
    </row>
    <row r="17" spans="1:5" x14ac:dyDescent="0.25">
      <c r="A17" t="s">
        <v>81</v>
      </c>
      <c r="B17">
        <f>B15*B16</f>
        <v>84.320000000000007</v>
      </c>
      <c r="C17">
        <f t="shared" ref="C17:E17" si="5">C15*C16</f>
        <v>9.92</v>
      </c>
      <c r="D17">
        <f t="shared" si="5"/>
        <v>7.4399999999999995</v>
      </c>
      <c r="E17">
        <f t="shared" si="5"/>
        <v>101.68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="180" zoomScaleNormal="180" workbookViewId="0">
      <selection activeCell="A68" sqref="A68"/>
    </sheetView>
  </sheetViews>
  <sheetFormatPr defaultRowHeight="15" x14ac:dyDescent="0.25"/>
  <cols>
    <col min="1" max="1" width="28.42578125" customWidth="1"/>
    <col min="2" max="2" width="11.5703125" customWidth="1"/>
    <col min="4" max="4" width="11" customWidth="1"/>
    <col min="5" max="5" width="12.5703125" bestFit="1" customWidth="1"/>
    <col min="7" max="7" width="26.42578125" customWidth="1"/>
    <col min="8" max="8" width="12.85546875" customWidth="1"/>
  </cols>
  <sheetData>
    <row r="1" spans="1:10" x14ac:dyDescent="0.25">
      <c r="C1" t="s">
        <v>119</v>
      </c>
      <c r="D1" t="s">
        <v>121</v>
      </c>
    </row>
    <row r="2" spans="1:10" x14ac:dyDescent="0.25">
      <c r="A2" t="s">
        <v>20</v>
      </c>
      <c r="B2" s="4">
        <v>5400</v>
      </c>
      <c r="C2" s="29">
        <f>+B2/43560</f>
        <v>0.12396694214876033</v>
      </c>
      <c r="D2" t="s">
        <v>120</v>
      </c>
      <c r="E2" s="35">
        <v>200000</v>
      </c>
      <c r="G2" s="13" t="s">
        <v>35</v>
      </c>
      <c r="H2" s="13" t="s">
        <v>27</v>
      </c>
      <c r="I2" s="13" t="s">
        <v>18</v>
      </c>
      <c r="J2" s="13" t="s">
        <v>19</v>
      </c>
    </row>
    <row r="3" spans="1:10" x14ac:dyDescent="0.25">
      <c r="A3" t="s">
        <v>21</v>
      </c>
      <c r="B3" s="4">
        <v>1860</v>
      </c>
      <c r="C3" s="29">
        <f>+B3/43560</f>
        <v>4.2699724517906337E-2</v>
      </c>
      <c r="D3" t="s">
        <v>123</v>
      </c>
      <c r="E3" s="9">
        <f>C3*E2/25</f>
        <v>341.59779614325066</v>
      </c>
      <c r="G3" t="s">
        <v>39</v>
      </c>
      <c r="H3" s="14">
        <v>160</v>
      </c>
      <c r="I3" s="4">
        <v>15</v>
      </c>
      <c r="J3" s="10">
        <f>H3/I3</f>
        <v>10.666666666666666</v>
      </c>
    </row>
    <row r="4" spans="1:10" x14ac:dyDescent="0.25">
      <c r="A4" t="s">
        <v>22</v>
      </c>
      <c r="B4" s="6">
        <f>B3/B2</f>
        <v>0.34444444444444444</v>
      </c>
      <c r="C4" s="29"/>
      <c r="D4" t="s">
        <v>122</v>
      </c>
      <c r="E4" s="9">
        <f>+E3*0.1</f>
        <v>34.159779614325068</v>
      </c>
      <c r="G4" t="s">
        <v>118</v>
      </c>
      <c r="H4" s="14">
        <f>40*18</f>
        <v>720</v>
      </c>
      <c r="I4" s="4">
        <v>15</v>
      </c>
      <c r="J4" s="10">
        <f>H4/I4</f>
        <v>48</v>
      </c>
    </row>
    <row r="5" spans="1:10" x14ac:dyDescent="0.25">
      <c r="A5" t="s">
        <v>23</v>
      </c>
      <c r="B5" s="4">
        <v>1500</v>
      </c>
      <c r="C5" s="29">
        <f>+B5/43560</f>
        <v>3.4435261707988982E-2</v>
      </c>
      <c r="G5" t="s">
        <v>31</v>
      </c>
      <c r="H5" s="14">
        <v>23.98</v>
      </c>
      <c r="I5" s="4">
        <v>15</v>
      </c>
      <c r="J5" s="10">
        <f t="shared" ref="J5:J8" si="0">H5/I5</f>
        <v>1.5986666666666667</v>
      </c>
    </row>
    <row r="6" spans="1:10" x14ac:dyDescent="0.25">
      <c r="A6" t="s">
        <v>24</v>
      </c>
      <c r="B6" s="4">
        <v>60</v>
      </c>
      <c r="C6" s="29">
        <f>+B6/43560</f>
        <v>1.3774104683195593E-3</v>
      </c>
      <c r="G6" t="s">
        <v>38</v>
      </c>
      <c r="H6" s="14">
        <v>552.01</v>
      </c>
      <c r="I6" s="4">
        <v>15</v>
      </c>
      <c r="J6" s="10">
        <f t="shared" si="0"/>
        <v>36.800666666666665</v>
      </c>
    </row>
    <row r="7" spans="1:10" x14ac:dyDescent="0.25">
      <c r="A7" t="s">
        <v>25</v>
      </c>
      <c r="B7" s="7">
        <f>B6/B5</f>
        <v>0.04</v>
      </c>
      <c r="G7" t="s">
        <v>37</v>
      </c>
      <c r="H7" s="14">
        <v>315.42</v>
      </c>
      <c r="I7" s="4">
        <v>15</v>
      </c>
      <c r="J7" s="10">
        <f t="shared" si="0"/>
        <v>21.028000000000002</v>
      </c>
    </row>
    <row r="8" spans="1:10" x14ac:dyDescent="0.25">
      <c r="A8" t="s">
        <v>26</v>
      </c>
      <c r="B8" s="8">
        <f>B7*B4</f>
        <v>1.3777777777777778E-2</v>
      </c>
      <c r="G8" t="s">
        <v>36</v>
      </c>
      <c r="H8" s="14">
        <v>123.6</v>
      </c>
      <c r="I8" s="4">
        <v>15</v>
      </c>
      <c r="J8" s="10">
        <f t="shared" si="0"/>
        <v>8.24</v>
      </c>
    </row>
    <row r="9" spans="1:10" x14ac:dyDescent="0.25">
      <c r="G9" s="1" t="s">
        <v>29</v>
      </c>
      <c r="H9" s="11">
        <f>SUM(H3:H8)</f>
        <v>1895.01</v>
      </c>
      <c r="J9" s="11">
        <f>SUM(J3:J8)</f>
        <v>126.334</v>
      </c>
    </row>
    <row r="10" spans="1:10" x14ac:dyDescent="0.25">
      <c r="A10" s="13" t="s">
        <v>14</v>
      </c>
      <c r="B10" s="13" t="s">
        <v>27</v>
      </c>
      <c r="C10" s="13" t="s">
        <v>18</v>
      </c>
      <c r="D10" s="13" t="s">
        <v>19</v>
      </c>
      <c r="G10" s="1" t="s">
        <v>28</v>
      </c>
      <c r="H10" s="11">
        <f>H9*$B$8</f>
        <v>26.109026666666665</v>
      </c>
      <c r="J10" s="11">
        <f>J9*$B$8</f>
        <v>1.7406017777777778</v>
      </c>
    </row>
    <row r="11" spans="1:10" x14ac:dyDescent="0.25">
      <c r="A11" t="s">
        <v>15</v>
      </c>
      <c r="B11" s="14">
        <v>64.900000000000006</v>
      </c>
      <c r="C11" s="4">
        <v>10</v>
      </c>
      <c r="D11" s="10">
        <f>B11/C11</f>
        <v>6.49</v>
      </c>
    </row>
    <row r="12" spans="1:10" x14ac:dyDescent="0.25">
      <c r="A12" t="s">
        <v>16</v>
      </c>
      <c r="B12" s="14">
        <v>21</v>
      </c>
      <c r="C12" s="4">
        <v>10</v>
      </c>
      <c r="D12" s="10">
        <f t="shared" ref="D12:D13" si="1">B12/C12</f>
        <v>2.1</v>
      </c>
    </row>
    <row r="13" spans="1:10" x14ac:dyDescent="0.25">
      <c r="A13" t="s">
        <v>17</v>
      </c>
      <c r="B13" s="14">
        <v>22.8</v>
      </c>
      <c r="C13" s="4">
        <v>10</v>
      </c>
      <c r="D13" s="10">
        <f t="shared" si="1"/>
        <v>2.2800000000000002</v>
      </c>
    </row>
    <row r="14" spans="1:10" x14ac:dyDescent="0.25">
      <c r="A14" s="1" t="s">
        <v>29</v>
      </c>
      <c r="B14" s="11">
        <f>SUM(B11:B13)</f>
        <v>108.7</v>
      </c>
      <c r="C14" s="1"/>
      <c r="D14" s="11">
        <f>SUM(D11:D13)</f>
        <v>10.870000000000001</v>
      </c>
    </row>
    <row r="15" spans="1:10" x14ac:dyDescent="0.25">
      <c r="A15" s="1" t="s">
        <v>28</v>
      </c>
      <c r="B15" s="11">
        <f>B14*$B$8</f>
        <v>1.4976444444444446</v>
      </c>
      <c r="C15" s="1"/>
      <c r="D15" s="11">
        <f>D14*$B$8</f>
        <v>0.14976444444444445</v>
      </c>
    </row>
    <row r="17" spans="1:6" x14ac:dyDescent="0.25">
      <c r="A17" s="13" t="s">
        <v>30</v>
      </c>
      <c r="B17" s="13" t="s">
        <v>27</v>
      </c>
      <c r="C17" s="13" t="s">
        <v>18</v>
      </c>
      <c r="D17" s="13" t="s">
        <v>19</v>
      </c>
    </row>
    <row r="18" spans="1:6" x14ac:dyDescent="0.25">
      <c r="A18" t="s">
        <v>34</v>
      </c>
      <c r="B18" s="14">
        <v>107.9</v>
      </c>
      <c r="C18" s="4">
        <v>10</v>
      </c>
      <c r="D18" s="10">
        <f>B18/C18</f>
        <v>10.790000000000001</v>
      </c>
    </row>
    <row r="19" spans="1:6" x14ac:dyDescent="0.25">
      <c r="A19" t="s">
        <v>33</v>
      </c>
      <c r="B19" s="14">
        <v>95.85</v>
      </c>
      <c r="C19" s="4">
        <v>4</v>
      </c>
      <c r="D19" s="10">
        <f t="shared" ref="D19:D21" si="2">B19/C19</f>
        <v>23.962499999999999</v>
      </c>
    </row>
    <row r="20" spans="1:6" x14ac:dyDescent="0.25">
      <c r="A20" t="s">
        <v>32</v>
      </c>
      <c r="B20" s="14">
        <v>11.4</v>
      </c>
      <c r="C20" s="4">
        <v>4</v>
      </c>
      <c r="D20" s="10">
        <f t="shared" si="2"/>
        <v>2.85</v>
      </c>
    </row>
    <row r="21" spans="1:6" x14ac:dyDescent="0.25">
      <c r="A21" t="s">
        <v>31</v>
      </c>
      <c r="B21" s="14">
        <v>1.18</v>
      </c>
      <c r="C21" s="4">
        <v>4</v>
      </c>
      <c r="D21" s="10">
        <f t="shared" si="2"/>
        <v>0.29499999999999998</v>
      </c>
    </row>
    <row r="22" spans="1:6" x14ac:dyDescent="0.25">
      <c r="A22" s="1" t="s">
        <v>29</v>
      </c>
      <c r="B22" s="11">
        <f>SUM(B18:B21)</f>
        <v>216.33</v>
      </c>
      <c r="D22" s="11">
        <f>SUM(D18:D21)</f>
        <v>37.897500000000001</v>
      </c>
    </row>
    <row r="23" spans="1:6" x14ac:dyDescent="0.25">
      <c r="A23" s="1" t="s">
        <v>28</v>
      </c>
      <c r="B23" s="11">
        <f>B22*$B$8</f>
        <v>2.9805466666666667</v>
      </c>
      <c r="D23" s="11">
        <f>D22*$B$8</f>
        <v>0.52214333333333329</v>
      </c>
    </row>
    <row r="25" spans="1:6" x14ac:dyDescent="0.25">
      <c r="A25" s="13" t="s">
        <v>40</v>
      </c>
      <c r="B25" s="13" t="s">
        <v>27</v>
      </c>
      <c r="C25" s="13" t="s">
        <v>18</v>
      </c>
      <c r="D25" s="13" t="s">
        <v>19</v>
      </c>
      <c r="F25" s="5"/>
    </row>
    <row r="26" spans="1:6" x14ac:dyDescent="0.25">
      <c r="A26" t="s">
        <v>41</v>
      </c>
      <c r="B26" s="4">
        <v>2128.4</v>
      </c>
      <c r="C26" s="4">
        <v>10</v>
      </c>
      <c r="D26" s="10">
        <f>B26/C26</f>
        <v>212.84</v>
      </c>
      <c r="F26" s="5"/>
    </row>
    <row r="27" spans="1:6" x14ac:dyDescent="0.25">
      <c r="A27" s="28" t="s">
        <v>117</v>
      </c>
      <c r="B27" s="4">
        <f>40*18</f>
        <v>720</v>
      </c>
      <c r="C27" s="4">
        <v>10</v>
      </c>
      <c r="D27" s="10">
        <f>B27/C27</f>
        <v>72</v>
      </c>
      <c r="F27" s="5"/>
    </row>
    <row r="28" spans="1:6" x14ac:dyDescent="0.25">
      <c r="A28" t="s">
        <v>42</v>
      </c>
      <c r="B28" s="4">
        <v>490.53</v>
      </c>
      <c r="C28" s="4">
        <v>10</v>
      </c>
      <c r="D28" s="10">
        <f t="shared" ref="D28:D29" si="3">B28/C28</f>
        <v>49.052999999999997</v>
      </c>
      <c r="F28" s="5"/>
    </row>
    <row r="29" spans="1:6" x14ac:dyDescent="0.25">
      <c r="A29" t="s">
        <v>43</v>
      </c>
      <c r="B29" s="4">
        <v>85.65</v>
      </c>
      <c r="C29" s="4">
        <v>10</v>
      </c>
      <c r="D29" s="10">
        <f t="shared" si="3"/>
        <v>8.5650000000000013</v>
      </c>
      <c r="F29" s="5"/>
    </row>
    <row r="30" spans="1:6" x14ac:dyDescent="0.25">
      <c r="A30" s="1" t="s">
        <v>29</v>
      </c>
      <c r="B30" s="11">
        <f>SUM(B26:B29)</f>
        <v>3424.5800000000004</v>
      </c>
      <c r="D30" s="11">
        <f>SUM(D26:D29)</f>
        <v>342.45800000000003</v>
      </c>
      <c r="E30" s="5"/>
      <c r="F30" s="5"/>
    </row>
    <row r="31" spans="1:6" x14ac:dyDescent="0.25">
      <c r="A31" s="1" t="s">
        <v>28</v>
      </c>
      <c r="B31" s="11">
        <f>B30*$B$8</f>
        <v>47.183102222222224</v>
      </c>
      <c r="D31" s="11">
        <f>D30*$B$8</f>
        <v>4.7183102222222226</v>
      </c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13" t="s">
        <v>46</v>
      </c>
      <c r="B33" s="13" t="s">
        <v>27</v>
      </c>
      <c r="C33" s="13" t="s">
        <v>18</v>
      </c>
      <c r="D33" s="13" t="s">
        <v>19</v>
      </c>
      <c r="E33" s="5"/>
      <c r="F33" s="5"/>
    </row>
    <row r="34" spans="1:6" x14ac:dyDescent="0.25">
      <c r="A34" t="s">
        <v>53</v>
      </c>
      <c r="B34" s="14">
        <v>31.98</v>
      </c>
      <c r="C34" s="4">
        <v>5</v>
      </c>
      <c r="D34" s="15">
        <f>B34/C34</f>
        <v>6.3959999999999999</v>
      </c>
      <c r="E34" s="5"/>
      <c r="F34" s="5"/>
    </row>
    <row r="35" spans="1:6" x14ac:dyDescent="0.25">
      <c r="A35" t="s">
        <v>52</v>
      </c>
      <c r="B35" s="14">
        <v>8.94</v>
      </c>
      <c r="C35" s="4">
        <v>5</v>
      </c>
      <c r="D35" s="15">
        <f t="shared" ref="D35:D43" si="4">B35/C35</f>
        <v>1.7879999999999998</v>
      </c>
      <c r="E35" s="5"/>
      <c r="F35" s="5"/>
    </row>
    <row r="36" spans="1:6" x14ac:dyDescent="0.25">
      <c r="A36" t="s">
        <v>51</v>
      </c>
      <c r="B36" s="14">
        <v>65.94</v>
      </c>
      <c r="C36" s="4">
        <v>5</v>
      </c>
      <c r="D36" s="15">
        <f t="shared" si="4"/>
        <v>13.187999999999999</v>
      </c>
      <c r="E36" s="5"/>
      <c r="F36" s="5"/>
    </row>
    <row r="37" spans="1:6" x14ac:dyDescent="0.25">
      <c r="A37" t="s">
        <v>50</v>
      </c>
      <c r="B37" s="14">
        <v>12.87</v>
      </c>
      <c r="C37" s="4">
        <v>5</v>
      </c>
      <c r="D37" s="15">
        <f t="shared" si="4"/>
        <v>2.5739999999999998</v>
      </c>
    </row>
    <row r="38" spans="1:6" x14ac:dyDescent="0.25">
      <c r="A38" t="s">
        <v>49</v>
      </c>
      <c r="B38" s="14">
        <v>9.77</v>
      </c>
      <c r="C38" s="4">
        <v>5</v>
      </c>
      <c r="D38" s="15">
        <f t="shared" si="4"/>
        <v>1.954</v>
      </c>
    </row>
    <row r="39" spans="1:6" x14ac:dyDescent="0.25">
      <c r="A39" t="s">
        <v>55</v>
      </c>
      <c r="B39" s="14">
        <v>100</v>
      </c>
      <c r="C39" s="4">
        <v>5</v>
      </c>
      <c r="D39" s="15">
        <f t="shared" si="4"/>
        <v>20</v>
      </c>
    </row>
    <row r="40" spans="1:6" x14ac:dyDescent="0.25">
      <c r="A40" t="s">
        <v>54</v>
      </c>
      <c r="B40" s="14">
        <v>9.1</v>
      </c>
      <c r="C40" s="4">
        <v>5</v>
      </c>
      <c r="D40" s="15">
        <f t="shared" si="4"/>
        <v>1.8199999999999998</v>
      </c>
    </row>
    <row r="41" spans="1:6" x14ac:dyDescent="0.25">
      <c r="A41" t="s">
        <v>48</v>
      </c>
      <c r="B41" s="14">
        <v>19.989999999999998</v>
      </c>
      <c r="C41" s="4">
        <v>5</v>
      </c>
      <c r="D41" s="15">
        <f t="shared" si="4"/>
        <v>3.9979999999999998</v>
      </c>
    </row>
    <row r="42" spans="1:6" x14ac:dyDescent="0.25">
      <c r="A42" t="s">
        <v>84</v>
      </c>
      <c r="B42" s="14">
        <v>17.989999999999998</v>
      </c>
      <c r="C42" s="4">
        <v>5</v>
      </c>
      <c r="D42" s="15">
        <f t="shared" si="4"/>
        <v>3.5979999999999999</v>
      </c>
    </row>
    <row r="43" spans="1:6" x14ac:dyDescent="0.25">
      <c r="A43" t="s">
        <v>47</v>
      </c>
      <c r="B43" s="14">
        <v>42.99</v>
      </c>
      <c r="C43" s="4">
        <v>2</v>
      </c>
      <c r="D43" s="15">
        <f t="shared" si="4"/>
        <v>21.495000000000001</v>
      </c>
    </row>
    <row r="44" spans="1:6" x14ac:dyDescent="0.25">
      <c r="A44" s="1" t="s">
        <v>29</v>
      </c>
      <c r="B44" s="11">
        <f>SUM(B34:B43)</f>
        <v>319.57</v>
      </c>
      <c r="D44" s="11">
        <f>SUM(D34:D43)</f>
        <v>76.810999999999993</v>
      </c>
    </row>
    <row r="45" spans="1:6" x14ac:dyDescent="0.25">
      <c r="A45" s="1" t="s">
        <v>28</v>
      </c>
      <c r="B45" s="11">
        <f>B44*$B$8</f>
        <v>4.4029644444444447</v>
      </c>
      <c r="D45" s="11">
        <f>D44*$B$8</f>
        <v>1.0582848888888887</v>
      </c>
    </row>
    <row r="47" spans="1:6" x14ac:dyDescent="0.25">
      <c r="A47" s="13" t="s">
        <v>86</v>
      </c>
      <c r="B47" s="13" t="s">
        <v>27</v>
      </c>
      <c r="C47" s="13" t="s">
        <v>18</v>
      </c>
      <c r="D47" s="13" t="s">
        <v>19</v>
      </c>
    </row>
    <row r="48" spans="1:6" x14ac:dyDescent="0.25">
      <c r="A48" t="s">
        <v>87</v>
      </c>
      <c r="B48" s="4">
        <v>135.58000000000001</v>
      </c>
      <c r="C48" s="4">
        <v>20</v>
      </c>
      <c r="D48" s="15">
        <f t="shared" ref="D48:D51" si="5">B48/C48</f>
        <v>6.7790000000000008</v>
      </c>
    </row>
    <row r="49" spans="1:4" x14ac:dyDescent="0.25">
      <c r="A49" t="s">
        <v>88</v>
      </c>
      <c r="B49" s="4">
        <v>47.59</v>
      </c>
      <c r="C49" s="4">
        <v>20</v>
      </c>
      <c r="D49" s="15">
        <f t="shared" si="5"/>
        <v>2.3795000000000002</v>
      </c>
    </row>
    <row r="50" spans="1:4" x14ac:dyDescent="0.25">
      <c r="A50" t="s">
        <v>89</v>
      </c>
      <c r="B50" s="4">
        <v>17.760000000000002</v>
      </c>
      <c r="C50" s="4">
        <v>20</v>
      </c>
      <c r="D50" s="15">
        <f t="shared" si="5"/>
        <v>0.88800000000000012</v>
      </c>
    </row>
    <row r="51" spans="1:4" x14ac:dyDescent="0.25">
      <c r="A51" t="s">
        <v>38</v>
      </c>
      <c r="B51" s="4">
        <v>1037.43</v>
      </c>
      <c r="C51" s="4">
        <v>20</v>
      </c>
      <c r="D51" s="15">
        <f t="shared" si="5"/>
        <v>51.871500000000005</v>
      </c>
    </row>
    <row r="52" spans="1:4" x14ac:dyDescent="0.25">
      <c r="A52" s="1" t="s">
        <v>29</v>
      </c>
      <c r="B52" s="11">
        <f>SUM(B48:B51)</f>
        <v>1238.3600000000001</v>
      </c>
      <c r="D52" s="11">
        <f>SUM(D48:D51)</f>
        <v>61.918000000000006</v>
      </c>
    </row>
    <row r="53" spans="1:4" x14ac:dyDescent="0.25">
      <c r="A53" s="1" t="s">
        <v>28</v>
      </c>
      <c r="B53" s="11">
        <f>B52*$B$8</f>
        <v>17.061848888888889</v>
      </c>
      <c r="D53" s="11">
        <f>D52*$B$8</f>
        <v>0.85309244444444454</v>
      </c>
    </row>
    <row r="55" spans="1:4" x14ac:dyDescent="0.25">
      <c r="A55" s="13" t="s">
        <v>90</v>
      </c>
      <c r="B55" s="13" t="s">
        <v>27</v>
      </c>
      <c r="C55" s="13" t="s">
        <v>18</v>
      </c>
      <c r="D55" s="13" t="s">
        <v>19</v>
      </c>
    </row>
    <row r="56" spans="1:4" x14ac:dyDescent="0.25">
      <c r="A56" t="s">
        <v>91</v>
      </c>
      <c r="B56" s="4">
        <v>206</v>
      </c>
      <c r="C56" s="4">
        <v>10</v>
      </c>
      <c r="D56" s="5">
        <f>B56/C56</f>
        <v>20.6</v>
      </c>
    </row>
    <row r="57" spans="1:4" x14ac:dyDescent="0.25">
      <c r="A57" t="s">
        <v>92</v>
      </c>
      <c r="B57" s="4">
        <v>299</v>
      </c>
      <c r="C57" s="4">
        <v>10</v>
      </c>
      <c r="D57" s="5">
        <f t="shared" ref="D57:D58" si="6">B57/C57</f>
        <v>29.9</v>
      </c>
    </row>
    <row r="58" spans="1:4" x14ac:dyDescent="0.25">
      <c r="A58" t="s">
        <v>93</v>
      </c>
      <c r="B58" s="4">
        <v>200</v>
      </c>
      <c r="C58" s="4">
        <v>10</v>
      </c>
      <c r="D58" s="5">
        <f t="shared" si="6"/>
        <v>20</v>
      </c>
    </row>
    <row r="59" spans="1:4" x14ac:dyDescent="0.25">
      <c r="A59" s="1" t="s">
        <v>29</v>
      </c>
      <c r="B59" s="11">
        <f>SUM(B56:B58)</f>
        <v>705</v>
      </c>
      <c r="D59" s="11">
        <f>SUM(D56:D58)</f>
        <v>70.5</v>
      </c>
    </row>
    <row r="60" spans="1:4" x14ac:dyDescent="0.25">
      <c r="A60" s="1" t="s">
        <v>28</v>
      </c>
      <c r="B60" s="11">
        <f>B59*$B$8</f>
        <v>9.7133333333333329</v>
      </c>
      <c r="D60" s="11">
        <f>D59*$B$8</f>
        <v>0.97133333333333338</v>
      </c>
    </row>
    <row r="62" spans="1:4" x14ac:dyDescent="0.25">
      <c r="A62" s="13" t="s">
        <v>94</v>
      </c>
      <c r="B62" s="13" t="s">
        <v>27</v>
      </c>
      <c r="C62" s="13" t="s">
        <v>18</v>
      </c>
      <c r="D62" s="13" t="s">
        <v>19</v>
      </c>
    </row>
    <row r="63" spans="1:4" x14ac:dyDescent="0.25">
      <c r="A63" t="s">
        <v>95</v>
      </c>
      <c r="B63" s="4">
        <v>32.99</v>
      </c>
      <c r="C63" s="4">
        <v>5</v>
      </c>
      <c r="D63" s="5">
        <f t="shared" ref="D63:D67" si="7">B63/C63</f>
        <v>6.5980000000000008</v>
      </c>
    </row>
    <row r="64" spans="1:4" x14ac:dyDescent="0.25">
      <c r="A64" t="s">
        <v>96</v>
      </c>
      <c r="B64" s="4">
        <v>79.599999999999994</v>
      </c>
      <c r="C64" s="4">
        <v>20</v>
      </c>
      <c r="D64" s="5">
        <f t="shared" si="7"/>
        <v>3.9799999999999995</v>
      </c>
    </row>
    <row r="65" spans="1:4" x14ac:dyDescent="0.25">
      <c r="A65" t="s">
        <v>97</v>
      </c>
      <c r="B65" s="4">
        <v>16.98</v>
      </c>
      <c r="C65" s="4">
        <v>2</v>
      </c>
      <c r="D65" s="5">
        <f t="shared" si="7"/>
        <v>8.49</v>
      </c>
    </row>
    <row r="66" spans="1:4" x14ac:dyDescent="0.25">
      <c r="A66" t="s">
        <v>98</v>
      </c>
      <c r="B66" s="4">
        <v>18.5</v>
      </c>
      <c r="C66" s="4">
        <v>5</v>
      </c>
      <c r="D66" s="5">
        <f t="shared" si="7"/>
        <v>3.7</v>
      </c>
    </row>
    <row r="67" spans="1:4" x14ac:dyDescent="0.25">
      <c r="A67" t="s">
        <v>99</v>
      </c>
      <c r="B67" s="4">
        <v>133.07</v>
      </c>
      <c r="C67" s="4">
        <v>5</v>
      </c>
      <c r="D67" s="5">
        <f t="shared" si="7"/>
        <v>26.613999999999997</v>
      </c>
    </row>
    <row r="68" spans="1:4" x14ac:dyDescent="0.25">
      <c r="A68" s="1" t="s">
        <v>100</v>
      </c>
      <c r="B68" s="11">
        <f>SUM(B63:B67)</f>
        <v>281.14</v>
      </c>
      <c r="D68" s="11">
        <f>SUM(D63:D67)</f>
        <v>49.381999999999991</v>
      </c>
    </row>
    <row r="69" spans="1:4" x14ac:dyDescent="0.25">
      <c r="A69" s="1"/>
      <c r="B69" s="11"/>
      <c r="D6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tomato</vt:lpstr>
      <vt:lpstr>Garlic</vt:lpstr>
      <vt:lpstr>labor</vt:lpstr>
      <vt:lpstr>Initial Start up costs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 Ward</dc:creator>
  <cp:lastModifiedBy>Ruby Ward</cp:lastModifiedBy>
  <dcterms:created xsi:type="dcterms:W3CDTF">2023-02-13T18:02:43Z</dcterms:created>
  <dcterms:modified xsi:type="dcterms:W3CDTF">2023-02-21T22:51:47Z</dcterms:modified>
</cp:coreProperties>
</file>