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Andrea Snarr\Desktop\Extension Editor &amp; Publication Manager\Extension Publications Manager\Mike Pace\"/>
    </mc:Choice>
  </mc:AlternateContent>
  <xr:revisionPtr revIDLastSave="0" documentId="13_ncr:1_{4D742144-C3F0-475B-8F70-A52F754EB8A1}" xr6:coauthVersionLast="36" xr6:coauthVersionMax="36" xr10:uidLastSave="{00000000-0000-0000-0000-000000000000}"/>
  <bookViews>
    <workbookView xWindow="0" yWindow="0" windowWidth="17256" windowHeight="6900" xr2:uid="{00000000-000D-0000-FFFF-FFFF00000000}"/>
  </bookViews>
  <sheets>
    <sheet name="Table" sheetId="1" r:id="rId1"/>
    <sheet name="Tables 2-7" sheetId="2" r:id="rId2"/>
    <sheet name="Figur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2" l="1"/>
  <c r="I11" i="1" l="1"/>
  <c r="I17" i="1" l="1"/>
  <c r="I16" i="1"/>
  <c r="I15" i="1"/>
  <c r="A33" i="3" l="1"/>
  <c r="A32" i="3"/>
  <c r="D24" i="3"/>
  <c r="A12" i="3"/>
  <c r="A51" i="2"/>
  <c r="A53" i="2" s="1"/>
  <c r="A42" i="2"/>
  <c r="A41" i="2" s="1"/>
  <c r="I48" i="1"/>
  <c r="E48" i="1"/>
  <c r="J42" i="1"/>
  <c r="I29" i="1"/>
  <c r="I28" i="1"/>
  <c r="I27" i="1"/>
  <c r="I26" i="1"/>
  <c r="I25" i="1"/>
  <c r="I20" i="1"/>
  <c r="I19" i="1"/>
  <c r="A30" i="3" s="1"/>
  <c r="I18" i="1"/>
  <c r="I14" i="1"/>
  <c r="A29" i="3" s="1"/>
  <c r="I12" i="1"/>
  <c r="I10" i="1"/>
  <c r="A28" i="3" s="1"/>
  <c r="I5" i="1"/>
  <c r="J6" i="1" s="1"/>
  <c r="A50" i="2" l="1"/>
  <c r="A52" i="2"/>
  <c r="A49" i="2"/>
  <c r="J30" i="1"/>
  <c r="D22" i="3" s="1"/>
  <c r="B9" i="3"/>
  <c r="D3" i="2"/>
  <c r="D30" i="2"/>
  <c r="D21" i="2"/>
  <c r="B5" i="3"/>
  <c r="A43" i="2"/>
  <c r="A40" i="2"/>
  <c r="A44" i="2"/>
  <c r="A34" i="3"/>
  <c r="D29" i="3" s="1"/>
  <c r="H32" i="1"/>
  <c r="J32" i="1" s="1"/>
  <c r="J22" i="1"/>
  <c r="D21" i="3" s="1"/>
  <c r="F21" i="2" l="1"/>
  <c r="B21" i="2"/>
  <c r="E21" i="2"/>
  <c r="C21" i="2"/>
  <c r="E30" i="2"/>
  <c r="C30" i="2"/>
  <c r="F30" i="2"/>
  <c r="B30" i="2"/>
  <c r="C3" i="2"/>
  <c r="C12" i="2" s="1"/>
  <c r="B3" i="2"/>
  <c r="B12" i="2" s="1"/>
  <c r="D12" i="2"/>
  <c r="E3" i="2"/>
  <c r="D32" i="3"/>
  <c r="D30" i="3"/>
  <c r="D33" i="3"/>
  <c r="D31" i="3"/>
  <c r="D28" i="3"/>
  <c r="D25" i="3"/>
  <c r="J34" i="1"/>
  <c r="D34" i="3" l="1"/>
  <c r="E12" i="2"/>
  <c r="F3" i="2"/>
  <c r="F12" i="2" s="1"/>
  <c r="A24" i="2"/>
  <c r="I47" i="1"/>
  <c r="E47" i="1"/>
  <c r="J36" i="1"/>
  <c r="J43" i="1"/>
  <c r="B10" i="3" l="1"/>
  <c r="D39" i="2"/>
  <c r="B6" i="3"/>
  <c r="E49" i="1"/>
  <c r="J44" i="1"/>
  <c r="A6" i="2"/>
  <c r="C24" i="2"/>
  <c r="A25" i="2"/>
  <c r="A26" i="2"/>
  <c r="E24" i="2"/>
  <c r="A22" i="2"/>
  <c r="D24" i="2"/>
  <c r="A23" i="2"/>
  <c r="F24" i="2"/>
  <c r="B24" i="2"/>
  <c r="D23" i="3"/>
  <c r="A33" i="2"/>
  <c r="D22" i="2" l="1"/>
  <c r="C22" i="2"/>
  <c r="E22" i="2"/>
  <c r="F22" i="2"/>
  <c r="B22" i="2"/>
  <c r="A7" i="2"/>
  <c r="C6" i="2"/>
  <c r="A5" i="2"/>
  <c r="F6" i="2"/>
  <c r="B6" i="2"/>
  <c r="A8" i="2"/>
  <c r="E6" i="2"/>
  <c r="A4" i="2"/>
  <c r="D6" i="2"/>
  <c r="E33" i="2"/>
  <c r="D33" i="2"/>
  <c r="F33" i="2"/>
  <c r="B33" i="2"/>
  <c r="A35" i="2"/>
  <c r="A31" i="2"/>
  <c r="A32" i="2"/>
  <c r="A34" i="2"/>
  <c r="C33" i="2"/>
  <c r="F23" i="2"/>
  <c r="E23" i="2"/>
  <c r="C23" i="2"/>
  <c r="B23" i="2"/>
  <c r="D23" i="2"/>
  <c r="C26" i="2"/>
  <c r="E26" i="2"/>
  <c r="D26" i="2"/>
  <c r="B26" i="2"/>
  <c r="F26" i="2"/>
  <c r="B7" i="3"/>
  <c r="B11" i="3"/>
  <c r="A15" i="2"/>
  <c r="D43" i="2"/>
  <c r="D48" i="2"/>
  <c r="C39" i="2"/>
  <c r="E39" i="2"/>
  <c r="D41" i="2"/>
  <c r="D44" i="2"/>
  <c r="F39" i="2"/>
  <c r="D42" i="2"/>
  <c r="B39" i="2"/>
  <c r="D40" i="2"/>
  <c r="D26" i="3"/>
  <c r="F25" i="2"/>
  <c r="E25" i="2"/>
  <c r="C25" i="2"/>
  <c r="B25" i="2"/>
  <c r="D25" i="2"/>
  <c r="C15" i="2" l="1"/>
  <c r="D15" i="2"/>
  <c r="A16" i="2"/>
  <c r="A14" i="2"/>
  <c r="E15" i="2"/>
  <c r="A13" i="2"/>
  <c r="A17" i="2"/>
  <c r="B15" i="2"/>
  <c r="F15" i="2"/>
  <c r="E31" i="2"/>
  <c r="D31" i="2"/>
  <c r="F31" i="2"/>
  <c r="B31" i="2"/>
  <c r="C31" i="2"/>
  <c r="F44" i="2"/>
  <c r="F40" i="2"/>
  <c r="F48" i="2"/>
  <c r="F42" i="2"/>
  <c r="F41" i="2"/>
  <c r="F43" i="2"/>
  <c r="D35" i="2"/>
  <c r="F35" i="2"/>
  <c r="B35" i="2"/>
  <c r="E35" i="2"/>
  <c r="C35" i="2"/>
  <c r="B8" i="2"/>
  <c r="C8" i="2"/>
  <c r="F8" i="2"/>
  <c r="E8" i="2"/>
  <c r="D8" i="2"/>
  <c r="A24" i="3"/>
  <c r="A22" i="3"/>
  <c r="A21" i="3"/>
  <c r="A25" i="3"/>
  <c r="E48" i="2"/>
  <c r="E44" i="2"/>
  <c r="E42" i="2"/>
  <c r="E40" i="2"/>
  <c r="E43" i="2"/>
  <c r="E41" i="2"/>
  <c r="A23" i="3"/>
  <c r="C43" i="2"/>
  <c r="C41" i="2"/>
  <c r="C44" i="2"/>
  <c r="C42" i="2"/>
  <c r="C40" i="2"/>
  <c r="C48" i="2"/>
  <c r="D52" i="2"/>
  <c r="D50" i="2"/>
  <c r="D53" i="2"/>
  <c r="D51" i="2"/>
  <c r="D49" i="2"/>
  <c r="F34" i="2"/>
  <c r="B34" i="2"/>
  <c r="D34" i="2"/>
  <c r="C34" i="2"/>
  <c r="E34" i="2"/>
  <c r="E7" i="2"/>
  <c r="D7" i="2"/>
  <c r="F7" i="2"/>
  <c r="C7" i="2"/>
  <c r="B7" i="2"/>
  <c r="E5" i="2"/>
  <c r="D5" i="2"/>
  <c r="C5" i="2"/>
  <c r="B5" i="2"/>
  <c r="F5" i="2"/>
  <c r="B42" i="2"/>
  <c r="B48" i="2"/>
  <c r="B44" i="2"/>
  <c r="B43" i="2"/>
  <c r="B41" i="2"/>
  <c r="F32" i="2"/>
  <c r="B32" i="2"/>
  <c r="D32" i="2"/>
  <c r="C32" i="2"/>
  <c r="E32" i="2"/>
  <c r="F4" i="2"/>
  <c r="C4" i="2"/>
  <c r="B4" i="2"/>
  <c r="E4" i="2"/>
  <c r="D4" i="2"/>
  <c r="C53" i="2" l="1"/>
  <c r="C51" i="2"/>
  <c r="C49" i="2"/>
  <c r="C52" i="2"/>
  <c r="C50" i="2"/>
  <c r="E52" i="2"/>
  <c r="E50" i="2"/>
  <c r="E53" i="2"/>
  <c r="E51" i="2"/>
  <c r="E49" i="2"/>
  <c r="B17" i="2"/>
  <c r="D17" i="2"/>
  <c r="C17" i="2"/>
  <c r="F17" i="2"/>
  <c r="E17" i="2"/>
  <c r="D16" i="2"/>
  <c r="F16" i="2"/>
  <c r="B16" i="2"/>
  <c r="E16" i="2"/>
  <c r="C16" i="2"/>
  <c r="F14" i="2"/>
  <c r="B14" i="2"/>
  <c r="E14" i="2"/>
  <c r="C14" i="2"/>
  <c r="D14" i="2"/>
  <c r="D13" i="2"/>
  <c r="C13" i="2"/>
  <c r="F13" i="2"/>
  <c r="E13" i="2"/>
  <c r="B13" i="2"/>
  <c r="B53" i="2"/>
  <c r="B51" i="2"/>
  <c r="B49" i="2"/>
  <c r="B52" i="2"/>
  <c r="B50" i="2"/>
  <c r="F53" i="2"/>
  <c r="F51" i="2"/>
  <c r="F49" i="2"/>
  <c r="F52" i="2"/>
  <c r="F50" i="2"/>
</calcChain>
</file>

<file path=xl/sharedStrings.xml><?xml version="1.0" encoding="utf-8"?>
<sst xmlns="http://schemas.openxmlformats.org/spreadsheetml/2006/main" count="121" uniqueCount="86">
  <si>
    <t>Receipts</t>
  </si>
  <si>
    <t>Fertilizer</t>
  </si>
  <si>
    <t>Herbicides</t>
  </si>
  <si>
    <t>Seed</t>
  </si>
  <si>
    <t>Overhead</t>
  </si>
  <si>
    <t>Quantity</t>
  </si>
  <si>
    <t>per acre</t>
  </si>
  <si>
    <t>Unit</t>
  </si>
  <si>
    <t>Units</t>
  </si>
  <si>
    <t>Application</t>
  </si>
  <si>
    <t>Acre</t>
  </si>
  <si>
    <t>Term</t>
  </si>
  <si>
    <t>Principle</t>
  </si>
  <si>
    <t>Planting</t>
  </si>
  <si>
    <t>Harvesting</t>
  </si>
  <si>
    <t>Hauling</t>
  </si>
  <si>
    <t>Times</t>
  </si>
  <si>
    <t>per Unit</t>
  </si>
  <si>
    <t>Accounting, liability insurance, vehicle cost, office expense</t>
  </si>
  <si>
    <t>per Acre</t>
  </si>
  <si>
    <t>Net</t>
  </si>
  <si>
    <t>Yield</t>
  </si>
  <si>
    <t>Price</t>
  </si>
  <si>
    <t>Contribution</t>
  </si>
  <si>
    <t>Figure 1. Estimated Receipts, Costs and Profit for a Non-irrigated Safflower Enterprise</t>
  </si>
  <si>
    <t>Interest</t>
  </si>
  <si>
    <t>Pesticides</t>
  </si>
  <si>
    <t>per unit</t>
  </si>
  <si>
    <t>Value</t>
  </si>
  <si>
    <t>Total</t>
  </si>
  <si>
    <t>Rate</t>
  </si>
  <si>
    <t>Profit</t>
  </si>
  <si>
    <t>Flax</t>
  </si>
  <si>
    <t xml:space="preserve">Glyphosate </t>
  </si>
  <si>
    <t>Ounces</t>
  </si>
  <si>
    <t>Pint</t>
  </si>
  <si>
    <t>Clethodim 2E</t>
  </si>
  <si>
    <t xml:space="preserve">  </t>
  </si>
  <si>
    <t>Bison</t>
  </si>
  <si>
    <t>Cash lease for non irrigated farmland (includes property tax)</t>
  </si>
  <si>
    <t>Bushels</t>
  </si>
  <si>
    <t>15-40-0-10</t>
  </si>
  <si>
    <t>32-0-0</t>
  </si>
  <si>
    <t>UAN - Preplant</t>
  </si>
  <si>
    <t xml:space="preserve"> </t>
  </si>
  <si>
    <t>Bar chart</t>
  </si>
  <si>
    <t>Total costs</t>
  </si>
  <si>
    <t>Field operation</t>
  </si>
  <si>
    <t>Contribution margin</t>
  </si>
  <si>
    <t>Inputs and services</t>
  </si>
  <si>
    <t>Application costs</t>
  </si>
  <si>
    <t>Crop insurance</t>
  </si>
  <si>
    <t>Employee labor</t>
  </si>
  <si>
    <t>Subtotal receipts</t>
  </si>
  <si>
    <t>Starter fertilizer</t>
  </si>
  <si>
    <t>Spartan charge</t>
  </si>
  <si>
    <t>Seasonal employees</t>
  </si>
  <si>
    <t>Crop insurance (NAP)</t>
  </si>
  <si>
    <t>Subtotal inputs and services</t>
  </si>
  <si>
    <t>Field operations</t>
  </si>
  <si>
    <t>Summer chisel plow</t>
  </si>
  <si>
    <t>Spring bed prep-field cultivator</t>
  </si>
  <si>
    <t>Subtotal field operations costs</t>
  </si>
  <si>
    <t>Interest on operating capital</t>
  </si>
  <si>
    <t>Total input, service and field operation costs</t>
  </si>
  <si>
    <t>Total overhead</t>
  </si>
  <si>
    <t>Net income to owner (for unpaid management and risk)</t>
  </si>
  <si>
    <t>Production or yield breakeven (lb/acre)</t>
  </si>
  <si>
    <t>Overhead (fixed costs)</t>
  </si>
  <si>
    <t>Price breakeven ($/lb)</t>
  </si>
  <si>
    <t>Operating costs</t>
  </si>
  <si>
    <t>Fixed costs</t>
  </si>
  <si>
    <t>Pounds</t>
  </si>
  <si>
    <r>
      <rPr>
        <b/>
        <sz val="10"/>
        <color theme="1"/>
        <rFont val="Calibri"/>
        <family val="2"/>
      </rPr>
      <t>Table 2.</t>
    </r>
    <r>
      <rPr>
        <sz val="10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Net Income (Total Sales per Acre - Total Costs per Acre)</t>
    </r>
  </si>
  <si>
    <t>Total sales per acre</t>
  </si>
  <si>
    <t>income/acre</t>
  </si>
  <si>
    <t>Variable costs</t>
  </si>
  <si>
    <r>
      <rPr>
        <b/>
        <sz val="10"/>
        <color theme="1"/>
        <rFont val="Calibri"/>
        <family val="2"/>
        <scheme val="minor"/>
      </rPr>
      <t>Table 5.</t>
    </r>
    <r>
      <rPr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Contribution Margin Ratio (Contribution Margin per Acre/Total Sales per Acre)</t>
    </r>
  </si>
  <si>
    <r>
      <rPr>
        <b/>
        <sz val="10"/>
        <color theme="1"/>
        <rFont val="Calibri"/>
        <family val="2"/>
        <scheme val="minor"/>
      </rPr>
      <t>Table 3.</t>
    </r>
    <r>
      <rPr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Net Income/Total Sales Ratio (Net Income per Acre/Total Sales per Acre)</t>
    </r>
  </si>
  <si>
    <r>
      <rPr>
        <b/>
        <sz val="10"/>
        <color theme="1"/>
        <rFont val="Calibri"/>
        <family val="2"/>
        <scheme val="minor"/>
      </rPr>
      <t>Table 4.</t>
    </r>
    <r>
      <rPr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Contributions Margin (Total Sales per Acre/Variable Costs per Acre)</t>
    </r>
  </si>
  <si>
    <t>per pound</t>
  </si>
  <si>
    <t>margin</t>
  </si>
  <si>
    <r>
      <rPr>
        <b/>
        <sz val="10"/>
        <color theme="1"/>
        <rFont val="Calibri"/>
        <family val="2"/>
        <scheme val="minor"/>
      </rPr>
      <t>Table 7.</t>
    </r>
    <r>
      <rPr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Price Breakeven (Total Costs per Acre/Flax Yield per Acre)</t>
    </r>
  </si>
  <si>
    <r>
      <t xml:space="preserve">Table 1.  </t>
    </r>
    <r>
      <rPr>
        <i/>
        <sz val="11"/>
        <color theme="1"/>
        <rFont val="Calibri"/>
        <family val="2"/>
      </rPr>
      <t>2022 Costs and Returns for Non-Irrigated Flax</t>
    </r>
  </si>
  <si>
    <r>
      <rPr>
        <b/>
        <sz val="10"/>
        <color theme="1"/>
        <rFont val="Calibri"/>
        <family val="2"/>
        <scheme val="minor"/>
      </rPr>
      <t>Table 6.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 Production or Yield Breakeven (Total Costs per Acre/Flax Price per lb)</t>
    </r>
  </si>
  <si>
    <t>Input, services, and field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</si>
</sst>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%"/>
    <numFmt numFmtId="166" formatCode="[$$-409]#,##0;[Red][$$-409]#,##0"/>
    <numFmt numFmtId="167" formatCode="&quot;$&quot;#,##0;[Red]&quot;$&quot;#,##0"/>
    <numFmt numFmtId="168" formatCode="0\ &quot;lbs&quot;"/>
    <numFmt numFmtId="169" formatCode="&quot;$&quot;#,##0.0"/>
    <numFmt numFmtId="170" formatCode="&quot;$&quot;#,##0.00"/>
    <numFmt numFmtId="171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4" fillId="0" borderId="0" xfId="0" applyFont="1"/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2" borderId="13" xfId="2" applyNumberFormat="1" applyFont="1" applyFill="1" applyBorder="1" applyAlignment="1">
      <alignment horizontal="center"/>
    </xf>
    <xf numFmtId="165" fontId="6" fillId="2" borderId="14" xfId="2" applyNumberFormat="1" applyFont="1" applyFill="1" applyBorder="1" applyAlignment="1">
      <alignment horizontal="center"/>
    </xf>
    <xf numFmtId="165" fontId="6" fillId="2" borderId="15" xfId="2" applyNumberFormat="1" applyFont="1" applyFill="1" applyBorder="1" applyAlignment="1">
      <alignment horizontal="center"/>
    </xf>
    <xf numFmtId="165" fontId="6" fillId="0" borderId="18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5" fontId="6" fillId="0" borderId="19" xfId="2" applyNumberFormat="1" applyFont="1" applyBorder="1" applyAlignment="1">
      <alignment horizontal="center"/>
    </xf>
    <xf numFmtId="165" fontId="6" fillId="2" borderId="18" xfId="2" applyNumberFormat="1" applyFont="1" applyFill="1" applyBorder="1" applyAlignment="1">
      <alignment horizontal="center"/>
    </xf>
    <xf numFmtId="165" fontId="6" fillId="2" borderId="0" xfId="2" applyNumberFormat="1" applyFont="1" applyFill="1" applyBorder="1" applyAlignment="1">
      <alignment horizontal="center"/>
    </xf>
    <xf numFmtId="165" fontId="6" fillId="2" borderId="19" xfId="2" applyNumberFormat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165" fontId="6" fillId="2" borderId="16" xfId="2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166" fontId="6" fillId="2" borderId="17" xfId="0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6" fillId="0" borderId="16" xfId="0" applyNumberFormat="1" applyFont="1" applyBorder="1" applyAlignment="1">
      <alignment horizontal="center"/>
    </xf>
    <xf numFmtId="167" fontId="6" fillId="2" borderId="12" xfId="0" applyNumberFormat="1" applyFont="1" applyFill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167" fontId="6" fillId="2" borderId="17" xfId="0" applyNumberFormat="1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6" fillId="2" borderId="19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/>
    </xf>
    <xf numFmtId="0" fontId="0" fillId="0" borderId="0" xfId="0" applyAlignment="1"/>
    <xf numFmtId="0" fontId="5" fillId="0" borderId="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5" fillId="0" borderId="9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23" xfId="0" applyFont="1" applyBorder="1"/>
    <xf numFmtId="0" fontId="5" fillId="0" borderId="0" xfId="0" applyFont="1" applyBorder="1"/>
    <xf numFmtId="164" fontId="5" fillId="0" borderId="0" xfId="1" applyNumberFormat="1" applyFont="1" applyBorder="1"/>
    <xf numFmtId="164" fontId="5" fillId="0" borderId="20" xfId="1" applyNumberFormat="1" applyFont="1" applyBorder="1"/>
    <xf numFmtId="0" fontId="5" fillId="2" borderId="23" xfId="0" applyFont="1" applyFill="1" applyBorder="1"/>
    <xf numFmtId="0" fontId="7" fillId="2" borderId="4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/>
    <xf numFmtId="164" fontId="7" fillId="2" borderId="4" xfId="0" applyNumberFormat="1" applyFont="1" applyFill="1" applyBorder="1"/>
    <xf numFmtId="164" fontId="7" fillId="2" borderId="21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164" fontId="5" fillId="0" borderId="20" xfId="0" applyNumberFormat="1" applyFont="1" applyFill="1" applyBorder="1"/>
    <xf numFmtId="0" fontId="7" fillId="0" borderId="0" xfId="0" applyFont="1" applyBorder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/>
    <xf numFmtId="0" fontId="7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7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/>
    <xf numFmtId="164" fontId="7" fillId="0" borderId="21" xfId="0" applyNumberFormat="1" applyFont="1" applyBorder="1"/>
    <xf numFmtId="164" fontId="7" fillId="2" borderId="1" xfId="1" applyNumberFormat="1" applyFont="1" applyFill="1" applyBorder="1"/>
    <xf numFmtId="0" fontId="5" fillId="2" borderId="24" xfId="0" applyFont="1" applyFill="1" applyBorder="1"/>
    <xf numFmtId="0" fontId="7" fillId="2" borderId="11" xfId="0" applyFont="1" applyFill="1" applyBorder="1"/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 vertical="center"/>
    </xf>
    <xf numFmtId="164" fontId="7" fillId="2" borderId="11" xfId="1" applyNumberFormat="1" applyFont="1" applyFill="1" applyBorder="1"/>
    <xf numFmtId="0" fontId="2" fillId="0" borderId="0" xfId="0" applyFont="1" applyAlignment="1"/>
    <xf numFmtId="2" fontId="0" fillId="0" borderId="0" xfId="0" applyNumberFormat="1"/>
    <xf numFmtId="165" fontId="0" fillId="0" borderId="0" xfId="2" applyNumberFormat="1" applyFont="1"/>
    <xf numFmtId="0" fontId="7" fillId="0" borderId="27" xfId="0" applyFont="1" applyBorder="1" applyAlignment="1">
      <alignment horizontal="center"/>
    </xf>
    <xf numFmtId="0" fontId="5" fillId="2" borderId="10" xfId="0" applyFont="1" applyFill="1" applyBorder="1"/>
    <xf numFmtId="0" fontId="5" fillId="0" borderId="23" xfId="0" applyFont="1" applyFill="1" applyBorder="1"/>
    <xf numFmtId="0" fontId="0" fillId="0" borderId="14" xfId="0" applyFill="1" applyBorder="1"/>
    <xf numFmtId="0" fontId="0" fillId="2" borderId="4" xfId="0" applyFill="1" applyBorder="1"/>
    <xf numFmtId="0" fontId="5" fillId="0" borderId="14" xfId="0" applyFont="1" applyFill="1" applyBorder="1"/>
    <xf numFmtId="0" fontId="7" fillId="0" borderId="14" xfId="0" applyFont="1" applyFill="1" applyBorder="1"/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8" fontId="7" fillId="2" borderId="22" xfId="1" applyNumberFormat="1" applyFont="1" applyFill="1" applyBorder="1"/>
    <xf numFmtId="0" fontId="11" fillId="0" borderId="9" xfId="3" applyFont="1" applyFill="1" applyBorder="1" applyAlignment="1" applyProtection="1">
      <protection locked="0"/>
    </xf>
    <xf numFmtId="0" fontId="11" fillId="0" borderId="0" xfId="3" applyFont="1" applyFill="1" applyBorder="1" applyAlignment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8" fontId="6" fillId="2" borderId="13" xfId="0" applyNumberFormat="1" applyFont="1" applyFill="1" applyBorder="1" applyAlignment="1">
      <alignment horizontal="center"/>
    </xf>
    <xf numFmtId="168" fontId="6" fillId="2" borderId="14" xfId="0" applyNumberFormat="1" applyFont="1" applyFill="1" applyBorder="1" applyAlignment="1">
      <alignment horizontal="center"/>
    </xf>
    <xf numFmtId="168" fontId="6" fillId="2" borderId="15" xfId="0" applyNumberFormat="1" applyFont="1" applyFill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8" fontId="6" fillId="0" borderId="19" xfId="0" applyNumberFormat="1" applyFont="1" applyBorder="1" applyAlignment="1">
      <alignment horizontal="center"/>
    </xf>
    <xf numFmtId="168" fontId="6" fillId="2" borderId="18" xfId="0" applyNumberFormat="1" applyFont="1" applyFill="1" applyBorder="1" applyAlignment="1">
      <alignment horizontal="center"/>
    </xf>
    <xf numFmtId="168" fontId="6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13" xfId="0" applyBorder="1"/>
    <xf numFmtId="0" fontId="0" fillId="0" borderId="15" xfId="0" applyBorder="1"/>
    <xf numFmtId="0" fontId="0" fillId="0" borderId="18" xfId="0" applyBorder="1"/>
    <xf numFmtId="8" fontId="0" fillId="0" borderId="19" xfId="0" applyNumberFormat="1" applyBorder="1"/>
    <xf numFmtId="0" fontId="0" fillId="0" borderId="3" xfId="0" applyBorder="1"/>
    <xf numFmtId="8" fontId="0" fillId="0" borderId="16" xfId="0" applyNumberFormat="1" applyBorder="1"/>
    <xf numFmtId="8" fontId="0" fillId="0" borderId="0" xfId="0" applyNumberFormat="1"/>
    <xf numFmtId="169" fontId="0" fillId="0" borderId="0" xfId="2" applyNumberFormat="1" applyFont="1"/>
    <xf numFmtId="169" fontId="0" fillId="0" borderId="0" xfId="0" applyNumberFormat="1"/>
    <xf numFmtId="44" fontId="0" fillId="0" borderId="0" xfId="1" applyFont="1"/>
    <xf numFmtId="0" fontId="5" fillId="0" borderId="0" xfId="0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64" fontId="5" fillId="0" borderId="0" xfId="1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64" fontId="5" fillId="0" borderId="1" xfId="1" applyNumberFormat="1" applyFont="1" applyBorder="1" applyAlignment="1">
      <alignment vertical="top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5" fillId="0" borderId="10" xfId="0" applyFont="1" applyBorder="1"/>
    <xf numFmtId="164" fontId="6" fillId="2" borderId="12" xfId="0" applyNumberFormat="1" applyFont="1" applyFill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9" fillId="3" borderId="29" xfId="3" applyFont="1" applyFill="1" applyBorder="1" applyAlignment="1" applyProtection="1">
      <alignment horizontal="left"/>
      <protection locked="0"/>
    </xf>
    <xf numFmtId="0" fontId="0" fillId="3" borderId="8" xfId="0" applyFill="1" applyBorder="1" applyAlignment="1">
      <alignment horizontal="left"/>
    </xf>
    <xf numFmtId="0" fontId="9" fillId="3" borderId="26" xfId="3" applyFont="1" applyFill="1" applyBorder="1" applyAlignment="1" applyProtection="1">
      <alignment horizontal="left"/>
      <protection locked="0"/>
    </xf>
    <xf numFmtId="0" fontId="11" fillId="0" borderId="13" xfId="3" applyFont="1" applyFill="1" applyBorder="1" applyAlignment="1" applyProtection="1">
      <protection locked="0"/>
    </xf>
    <xf numFmtId="0" fontId="11" fillId="0" borderId="18" xfId="3" applyFont="1" applyFill="1" applyBorder="1" applyAlignment="1" applyProtection="1">
      <protection locked="0"/>
    </xf>
    <xf numFmtId="0" fontId="10" fillId="0" borderId="31" xfId="0" applyFont="1" applyBorder="1" applyProtection="1">
      <protection locked="0"/>
    </xf>
    <xf numFmtId="10" fontId="5" fillId="0" borderId="0" xfId="0" applyNumberFormat="1" applyFont="1" applyFill="1" applyBorder="1" applyAlignment="1">
      <alignment horizontal="center" vertical="center"/>
    </xf>
    <xf numFmtId="8" fontId="5" fillId="0" borderId="0" xfId="0" applyNumberFormat="1" applyFont="1" applyFill="1" applyBorder="1"/>
    <xf numFmtId="0" fontId="0" fillId="0" borderId="0" xfId="0" applyFill="1" applyBorder="1"/>
    <xf numFmtId="164" fontId="7" fillId="0" borderId="0" xfId="0" applyNumberFormat="1" applyFont="1" applyFill="1" applyBorder="1"/>
    <xf numFmtId="0" fontId="5" fillId="0" borderId="9" xfId="0" applyFont="1" applyFill="1" applyBorder="1"/>
    <xf numFmtId="164" fontId="7" fillId="0" borderId="20" xfId="0" applyNumberFormat="1" applyFont="1" applyFill="1" applyBorder="1"/>
    <xf numFmtId="164" fontId="7" fillId="2" borderId="0" xfId="0" applyNumberFormat="1" applyFont="1" applyFill="1" applyBorder="1"/>
    <xf numFmtId="164" fontId="7" fillId="0" borderId="0" xfId="0" applyNumberFormat="1" applyFont="1" applyBorder="1" applyAlignment="1">
      <alignment vertical="center"/>
    </xf>
    <xf numFmtId="164" fontId="7" fillId="0" borderId="14" xfId="0" applyNumberFormat="1" applyFont="1" applyFill="1" applyBorder="1"/>
    <xf numFmtId="164" fontId="7" fillId="0" borderId="4" xfId="0" applyNumberFormat="1" applyFont="1" applyBorder="1"/>
    <xf numFmtId="8" fontId="7" fillId="2" borderId="32" xfId="1" applyNumberFormat="1" applyFont="1" applyFill="1" applyBorder="1"/>
    <xf numFmtId="8" fontId="12" fillId="0" borderId="28" xfId="0" applyNumberFormat="1" applyFont="1" applyBorder="1" applyAlignment="1" applyProtection="1">
      <alignment horizontal="right"/>
      <protection locked="0"/>
    </xf>
    <xf numFmtId="0" fontId="7" fillId="0" borderId="3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5" fillId="0" borderId="21" xfId="1" applyNumberFormat="1" applyFont="1" applyBorder="1" applyAlignment="1">
      <alignment vertical="center"/>
    </xf>
    <xf numFmtId="164" fontId="5" fillId="0" borderId="25" xfId="1" applyNumberFormat="1" applyFont="1" applyBorder="1"/>
    <xf numFmtId="164" fontId="7" fillId="2" borderId="21" xfId="1" applyNumberFormat="1" applyFont="1" applyFill="1" applyBorder="1"/>
    <xf numFmtId="164" fontId="7" fillId="0" borderId="21" xfId="0" applyNumberFormat="1" applyFont="1" applyBorder="1" applyAlignment="1">
      <alignment vertical="center"/>
    </xf>
    <xf numFmtId="170" fontId="6" fillId="0" borderId="0" xfId="0" applyNumberFormat="1" applyFont="1" applyBorder="1" applyAlignment="1">
      <alignment horizontal="center"/>
    </xf>
    <xf numFmtId="170" fontId="6" fillId="0" borderId="19" xfId="0" applyNumberFormat="1" applyFont="1" applyBorder="1" applyAlignment="1">
      <alignment horizontal="center"/>
    </xf>
    <xf numFmtId="170" fontId="6" fillId="2" borderId="0" xfId="0" applyNumberFormat="1" applyFont="1" applyFill="1" applyBorder="1" applyAlignment="1">
      <alignment horizontal="center"/>
    </xf>
    <xf numFmtId="170" fontId="6" fillId="2" borderId="19" xfId="0" applyNumberFormat="1" applyFont="1" applyFill="1" applyBorder="1" applyAlignment="1">
      <alignment horizontal="center"/>
    </xf>
    <xf numFmtId="170" fontId="6" fillId="2" borderId="16" xfId="0" applyNumberFormat="1" applyFont="1" applyFill="1" applyBorder="1" applyAlignment="1">
      <alignment horizontal="center"/>
    </xf>
    <xf numFmtId="0" fontId="2" fillId="0" borderId="0" xfId="0" applyFont="1"/>
    <xf numFmtId="165" fontId="0" fillId="0" borderId="0" xfId="0" applyNumberFormat="1"/>
    <xf numFmtId="170" fontId="6" fillId="2" borderId="1" xfId="0" applyNumberFormat="1" applyFont="1" applyFill="1" applyBorder="1" applyAlignment="1">
      <alignment horizontal="center"/>
    </xf>
    <xf numFmtId="168" fontId="6" fillId="2" borderId="19" xfId="0" applyNumberFormat="1" applyFont="1" applyFill="1" applyBorder="1" applyAlignment="1">
      <alignment horizontal="center"/>
    </xf>
    <xf numFmtId="168" fontId="6" fillId="2" borderId="3" xfId="0" applyNumberFormat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/>
    </xf>
    <xf numFmtId="168" fontId="6" fillId="2" borderId="16" xfId="0" applyNumberFormat="1" applyFont="1" applyFill="1" applyBorder="1" applyAlignment="1">
      <alignment horizontal="center"/>
    </xf>
    <xf numFmtId="0" fontId="9" fillId="3" borderId="8" xfId="3" applyFont="1" applyFill="1" applyBorder="1" applyAlignment="1" applyProtection="1">
      <alignment horizontal="left"/>
      <protection locked="0"/>
    </xf>
    <xf numFmtId="164" fontId="9" fillId="0" borderId="20" xfId="3" applyNumberFormat="1" applyFont="1" applyFill="1" applyBorder="1" applyAlignment="1" applyProtection="1">
      <alignment horizontal="right"/>
    </xf>
    <xf numFmtId="3" fontId="5" fillId="0" borderId="0" xfId="0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top"/>
    </xf>
    <xf numFmtId="170" fontId="6" fillId="2" borderId="3" xfId="0" applyNumberFormat="1" applyFont="1" applyFill="1" applyBorder="1" applyAlignment="1">
      <alignment horizontal="center"/>
    </xf>
    <xf numFmtId="0" fontId="15" fillId="0" borderId="0" xfId="0" applyFont="1"/>
    <xf numFmtId="0" fontId="5" fillId="0" borderId="0" xfId="0" applyFont="1"/>
    <xf numFmtId="0" fontId="18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9" fillId="0" borderId="14" xfId="3" applyNumberFormat="1" applyFont="1" applyFill="1" applyBorder="1" applyAlignment="1" applyProtection="1">
      <alignment horizontal="center"/>
      <protection locked="0"/>
    </xf>
    <xf numFmtId="1" fontId="9" fillId="0" borderId="15" xfId="3" applyNumberFormat="1" applyFont="1" applyFill="1" applyBorder="1" applyAlignment="1" applyProtection="1">
      <alignment horizontal="center"/>
      <protection locked="0"/>
    </xf>
    <xf numFmtId="1" fontId="9" fillId="0" borderId="11" xfId="3" applyNumberFormat="1" applyFont="1" applyFill="1" applyBorder="1" applyAlignment="1" applyProtection="1">
      <alignment horizontal="center"/>
      <protection locked="0"/>
    </xf>
    <xf numFmtId="1" fontId="9" fillId="0" borderId="35" xfId="3" applyNumberFormat="1" applyFont="1" applyFill="1" applyBorder="1" applyAlignment="1" applyProtection="1">
      <alignment horizontal="center"/>
      <protection locked="0"/>
    </xf>
    <xf numFmtId="1" fontId="9" fillId="0" borderId="0" xfId="3" applyNumberFormat="1" applyFont="1" applyFill="1" applyBorder="1" applyAlignment="1" applyProtection="1">
      <alignment horizontal="center"/>
      <protection locked="0"/>
    </xf>
    <xf numFmtId="1" fontId="9" fillId="0" borderId="19" xfId="3" applyNumberFormat="1" applyFont="1" applyFill="1" applyBorder="1" applyAlignment="1" applyProtection="1">
      <alignment horizontal="center"/>
      <protection locked="0"/>
    </xf>
    <xf numFmtId="0" fontId="9" fillId="3" borderId="34" xfId="3" applyFont="1" applyFill="1" applyBorder="1" applyAlignment="1" applyProtection="1">
      <alignment horizontal="left"/>
      <protection locked="0"/>
    </xf>
    <xf numFmtId="0" fontId="9" fillId="3" borderId="8" xfId="3" applyFont="1" applyFill="1" applyBorder="1" applyAlignment="1" applyProtection="1">
      <alignment horizontal="left"/>
      <protection locked="0"/>
    </xf>
    <xf numFmtId="164" fontId="9" fillId="0" borderId="14" xfId="3" applyNumberFormat="1" applyFont="1" applyFill="1" applyBorder="1" applyAlignment="1" applyProtection="1">
      <alignment horizontal="right"/>
    </xf>
    <xf numFmtId="8" fontId="12" fillId="0" borderId="11" xfId="0" applyNumberFormat="1" applyFont="1" applyBorder="1" applyAlignment="1" applyProtection="1">
      <alignment horizontal="right"/>
      <protection locked="0"/>
    </xf>
    <xf numFmtId="164" fontId="9" fillId="0" borderId="0" xfId="3" applyNumberFormat="1" applyFont="1" applyFill="1" applyBorder="1" applyAlignment="1" applyProtection="1">
      <alignment horizontal="righ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66FF99"/>
      <color rgb="FF003CB4"/>
      <color rgb="FFFFFF99"/>
      <color rgb="FF663300"/>
      <color rgb="FFFF00FF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A2-4BBE-96EA-FEF6838ADA11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A2-4BBE-96EA-FEF6838ADA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A2-4BBE-96EA-FEF6838ADA1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A2-4BBE-96EA-FEF6838ADA11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A2-4BBE-96EA-FEF6838ADA11}"/>
              </c:ext>
            </c:extLst>
          </c:dPt>
          <c:val>
            <c:numRef>
              <c:f>Figures!$D$21:$D$25</c:f>
              <c:numCache>
                <c:formatCode>"$"#,##0.0</c:formatCode>
                <c:ptCount val="5"/>
                <c:pt idx="0">
                  <c:v>232.52967999999998</c:v>
                </c:pt>
                <c:pt idx="1">
                  <c:v>92.499999999999986</c:v>
                </c:pt>
                <c:pt idx="2">
                  <c:v>261.8567812</c:v>
                </c:pt>
                <c:pt idx="3">
                  <c:v>52.5</c:v>
                </c:pt>
                <c:pt idx="4">
                  <c:v>9.3635388000000006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A2-4BBE-96EA-FEF6838AD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8F-4527-8A83-D8FF106D336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8F-4527-8A83-D8FF106D336B}"/>
              </c:ext>
            </c:extLst>
          </c:dPt>
          <c:dPt>
            <c:idx val="2"/>
            <c:bubble3D val="0"/>
            <c:spPr>
              <a:solidFill>
                <a:srgbClr val="003C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8F-4527-8A83-D8FF106D336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8F-4527-8A83-D8FF106D336B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8F-4527-8A83-D8FF106D336B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8F-4527-8A83-D8FF106D336B}"/>
              </c:ext>
            </c:extLst>
          </c:dPt>
          <c:val>
            <c:numRef>
              <c:f>Figures!$D$28:$D$33</c:f>
              <c:numCache>
                <c:formatCode>0.0%</c:formatCode>
                <c:ptCount val="6"/>
                <c:pt idx="0">
                  <c:v>0.39217596142554179</c:v>
                </c:pt>
                <c:pt idx="1">
                  <c:v>5.5043209748616657E-2</c:v>
                </c:pt>
                <c:pt idx="2">
                  <c:v>0.15543075041966301</c:v>
                </c:pt>
                <c:pt idx="3">
                  <c:v>6.2172300167865208E-2</c:v>
                </c:pt>
                <c:pt idx="4">
                  <c:v>1.1260094363735587E-2</c:v>
                </c:pt>
                <c:pt idx="5">
                  <c:v>0.3239176838745777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8F-4527-8A83-D8FF106D3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Figures!$A$5</c:f>
              <c:strCache>
                <c:ptCount val="1"/>
                <c:pt idx="0">
                  <c:v>Receipts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A0-4F53-8718-C1822300434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Receipts </a:t>
                    </a:r>
                  </a:p>
                  <a:p>
                    <a:r>
                      <a:rPr lang="en-US"/>
                      <a:t>$596.25 per acre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A0-4F53-8718-C18223004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Figures!$B$5</c:f>
              <c:numCache>
                <c:formatCode>"$"#,##0.00_);[Red]\("$"#,##0.00\)</c:formatCode>
                <c:ptCount val="1"/>
                <c:pt idx="0">
                  <c:v>596.25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A0-4F53-8718-C1822300434C}"/>
            </c:ext>
          </c:extLst>
        </c:ser>
        <c:ser>
          <c:idx val="1"/>
          <c:order val="1"/>
          <c:tx>
            <c:strRef>
              <c:f>Figures!$A$6</c:f>
              <c:strCache>
                <c:ptCount val="1"/>
                <c:pt idx="0">
                  <c:v>Total costs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A0-4F53-8718-C1822300434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Total costs</a:t>
                    </a:r>
                  </a:p>
                  <a:p>
                    <a:r>
                      <a:rPr lang="en-US"/>
                      <a:t>$386.89</a:t>
                    </a:r>
                    <a:r>
                      <a:rPr lang="en-US" baseline="0"/>
                      <a:t> per acre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A0-4F53-8718-C18223004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Figures!$B$6</c:f>
              <c:numCache>
                <c:formatCode>"$"#,##0.00_);[Red]\("$"#,##0.00\)</c:formatCode>
                <c:ptCount val="1"/>
                <c:pt idx="0">
                  <c:v>386.8932188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A0-4F53-8718-C1822300434C}"/>
            </c:ext>
          </c:extLst>
        </c:ser>
        <c:ser>
          <c:idx val="2"/>
          <c:order val="2"/>
          <c:tx>
            <c:strRef>
              <c:f>Figures!$A$7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A0-4F53-8718-C1822300434C}"/>
              </c:ext>
            </c:extLst>
          </c:dPt>
          <c:dLbls>
            <c:dLbl>
              <c:idx val="0"/>
              <c:layout>
                <c:manualLayout>
                  <c:x val="-0.27496167127400645"/>
                  <c:y val="-2.6980342592955169E-1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Profit </a:t>
                    </a:r>
                  </a:p>
                  <a:p>
                    <a:fld id="{ADEEBADB-3932-449C-AD05-BBA5364D6B09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per acre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27785077057658"/>
                      <c:h val="0.146990604474810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A0-4F53-8718-C18223004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Figures!$B$7</c:f>
              <c:numCache>
                <c:formatCode>"$"#,##0.00_);[Red]\("$"#,##0.00\)</c:formatCode>
                <c:ptCount val="1"/>
                <c:pt idx="0">
                  <c:v>209.3567812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A0-4F53-8718-C182230043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axId val="163331920"/>
        <c:axId val="163131704"/>
      </c:barChart>
      <c:catAx>
        <c:axId val="1633319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3131704"/>
        <c:crosses val="autoZero"/>
        <c:auto val="1"/>
        <c:lblAlgn val="ctr"/>
        <c:lblOffset val="100"/>
        <c:noMultiLvlLbl val="0"/>
      </c:catAx>
      <c:valAx>
        <c:axId val="163131704"/>
        <c:scaling>
          <c:orientation val="minMax"/>
        </c:scaling>
        <c:delete val="1"/>
        <c:axPos val="b"/>
        <c:numFmt formatCode="&quot;$&quot;#,##0.00_);[Red]\(&quot;$&quot;#,##0.00\)" sourceLinked="1"/>
        <c:majorTickMark val="none"/>
        <c:minorTickMark val="none"/>
        <c:tickLblPos val="nextTo"/>
        <c:crossAx val="16333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204785</xdr:colOff>
      <xdr:row>12</xdr:row>
      <xdr:rowOff>166690</xdr:rowOff>
    </xdr:from>
    <xdr:to>
      <xdr:col>11</xdr:col>
      <xdr:colOff>509585</xdr:colOff>
      <xdr:row>27</xdr:row>
      <xdr:rowOff>52390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414338</xdr:colOff>
      <xdr:row>28</xdr:row>
      <xdr:rowOff>133348</xdr:rowOff>
    </xdr:from>
    <xdr:to>
      <xdr:col>9</xdr:col>
      <xdr:colOff>97631</xdr:colOff>
      <xdr:row>40</xdr:row>
      <xdr:rowOff>42863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380999</xdr:colOff>
      <xdr:row>0</xdr:row>
      <xdr:rowOff>3</xdr:rowOff>
    </xdr:from>
    <xdr:to>
      <xdr:col>9</xdr:col>
      <xdr:colOff>9524</xdr:colOff>
      <xdr:row>11</xdr:row>
      <xdr:rowOff>61913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0.55387</cdr:x>
      <cdr:y>0.27991</cdr:y>
    </cdr:from>
    <cdr:to>
      <cdr:x>0.73096</cdr:x>
      <cdr:y>0.52297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6591" y="767861"/>
          <a:ext cx="807839" cy="666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Inputs and services</a:t>
          </a:r>
        </a:p>
        <a:p xmlns:a="http://schemas.openxmlformats.org/drawingml/2006/main">
          <a:pPr algn="ctr"/>
          <a:r>
            <a:rPr lang="en-US" sz="1100"/>
            <a:t>35.8%</a:t>
          </a:r>
        </a:p>
      </cdr:txBody>
    </cdr:sp>
  </cdr:relSizeAnchor>
  <cdr:relSizeAnchor xmlns:cdr="http://schemas.openxmlformats.org/drawingml/2006/chartDrawing">
    <cdr:from>
      <cdr:x>0.30521</cdr:x>
      <cdr:y>0.48264</cdr:y>
    </cdr:from>
    <cdr:to>
      <cdr:x>0.45938</cdr:x>
      <cdr:y>0.64236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95413" y="1323976"/>
          <a:ext cx="70485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0.49371</cdr:x>
      <cdr:y>0.65559</cdr:y>
    </cdr:from>
    <cdr:to>
      <cdr:x>0.67392</cdr:x>
      <cdr:y>0.91253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52188" y="1798405"/>
          <a:ext cx="822071" cy="704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chemeClr val="bg1"/>
              </a:solidFill>
            </a:rPr>
            <a:t>Field operations</a:t>
          </a:r>
        </a:p>
        <a:p xmlns:a="http://schemas.openxmlformats.org/drawingml/2006/main">
          <a:pPr algn="ctr"/>
          <a:r>
            <a:rPr lang="en-US" sz="1100">
              <a:solidFill>
                <a:schemeClr val="bg1"/>
              </a:solidFill>
            </a:rPr>
            <a:t>14.3%</a:t>
          </a:r>
        </a:p>
      </cdr:txBody>
    </cdr:sp>
  </cdr:relSizeAnchor>
  <cdr:relSizeAnchor xmlns:cdr="http://schemas.openxmlformats.org/drawingml/2006/chartDrawing">
    <cdr:from>
      <cdr:x>0.34089</cdr:x>
      <cdr:y>0.11712</cdr:y>
    </cdr:from>
    <cdr:to>
      <cdr:x>0.53985</cdr:x>
      <cdr:y>0.28726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55064" y="321276"/>
          <a:ext cx="907604" cy="4667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Overhead</a:t>
          </a:r>
          <a:r>
            <a:rPr lang="en-US" sz="1100" baseline="0"/>
            <a:t> 8.1</a:t>
          </a:r>
          <a:r>
            <a:rPr lang="en-US" sz="1100"/>
            <a:t>%</a:t>
          </a:r>
        </a:p>
      </cdr:txBody>
    </cdr:sp>
  </cdr:relSizeAnchor>
  <cdr:relSizeAnchor xmlns:cdr="http://schemas.openxmlformats.org/drawingml/2006/chartDrawing">
    <cdr:from>
      <cdr:x>0</cdr:x>
      <cdr:y>0.0191</cdr:y>
    </cdr:from>
    <cdr:to>
      <cdr:x>1</cdr:x>
      <cdr:y>0.07639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14601" y="52388"/>
          <a:ext cx="4867275" cy="157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0.57084</cdr:x>
      <cdr:y>0</cdr:y>
    </cdr:from>
    <cdr:to>
      <cdr:x>0.78125</cdr:x>
      <cdr:y>0.08854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609865" y="0"/>
          <a:ext cx="961995" cy="242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en-US" sz="1100"/>
            <a:t>Interest 1.4%</a:t>
          </a:r>
        </a:p>
      </cdr:txBody>
    </cdr:sp>
  </cdr:relSizeAnchor>
  <cdr:relSizeAnchor xmlns:cdr="http://schemas.openxmlformats.org/drawingml/2006/chartDrawing">
    <cdr:from>
      <cdr:x>0.48855</cdr:x>
      <cdr:y>0.04861</cdr:y>
    </cdr:from>
    <cdr:to>
      <cdr:x>0.58125</cdr:x>
      <cdr:y>0.07987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03542E01-A99C-4443-A54B-4C48B374F948}"/>
            </a:ext>
          </a:extLst>
        </cdr:cNvPr>
        <cdr:cNvCxnSpPr/>
      </cdr:nvCxnSpPr>
      <cdr:spPr>
        <a:xfrm xmlns:a="http://schemas.openxmlformats.org/drawingml/2006/main" flipH="1">
          <a:off x="2233636" y="133348"/>
          <a:ext cx="423841" cy="857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0.26088</cdr:x>
      <cdr:y>0.4822</cdr:y>
    </cdr:from>
    <cdr:to>
      <cdr:x>0.45984</cdr:x>
      <cdr:y>0.65234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190085" y="1322771"/>
          <a:ext cx="907604" cy="4667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Contribution margin</a:t>
          </a:r>
        </a:p>
        <a:p xmlns:a="http://schemas.openxmlformats.org/drawingml/2006/main">
          <a:pPr algn="ctr"/>
          <a:r>
            <a:rPr lang="en-US" sz="1100" baseline="0"/>
            <a:t>40.4</a:t>
          </a:r>
          <a:r>
            <a:rPr lang="en-US" sz="1100"/>
            <a:t>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0.53531</cdr:x>
      <cdr:y>0.35228</cdr:y>
    </cdr:from>
    <cdr:to>
      <cdr:x>0.81953</cdr:x>
      <cdr:y>0.60644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58178" y="773442"/>
          <a:ext cx="774206" cy="558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Fertilizer</a:t>
          </a:r>
        </a:p>
        <a:p xmlns:a="http://schemas.openxmlformats.org/drawingml/2006/main">
          <a:pPr algn="ctr"/>
          <a:r>
            <a:rPr lang="en-US" sz="800"/>
            <a:t>39.2%</a:t>
          </a:r>
        </a:p>
      </cdr:txBody>
    </cdr:sp>
  </cdr:relSizeAnchor>
  <cdr:relSizeAnchor xmlns:cdr="http://schemas.openxmlformats.org/drawingml/2006/chartDrawing">
    <cdr:from>
      <cdr:x>0.65115</cdr:x>
      <cdr:y>0.83037</cdr:y>
    </cdr:from>
    <cdr:to>
      <cdr:x>0.94234</cdr:x>
      <cdr:y>0.99056</cdr:y>
    </cdr:to>
    <cdr:sp macro="" textlink="">
      <cdr:nvSpPr>
        <cdr:cNvPr id="3" name="TextBox 2"/>
        <cdr:cNvSpPr txBox="1"/>
      </cdr:nvSpPr>
      <cdr:spPr>
        <a:xfrm xmlns:a="http://schemas.openxmlformats.org/drawingml/2006/main" rot="21418183">
          <a:off x="1773697" y="1823084"/>
          <a:ext cx="793192" cy="351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/>
            <a:t>Pesticides</a:t>
          </a:r>
        </a:p>
        <a:p xmlns:a="http://schemas.openxmlformats.org/drawingml/2006/main">
          <a:pPr algn="ctr"/>
          <a:r>
            <a:rPr lang="en-US" sz="800"/>
            <a:t>5.5%</a:t>
          </a:r>
        </a:p>
      </cdr:txBody>
    </cdr:sp>
  </cdr:relSizeAnchor>
  <cdr:relSizeAnchor xmlns:cdr="http://schemas.openxmlformats.org/drawingml/2006/chartDrawing">
    <cdr:from>
      <cdr:x>0.1116</cdr:x>
      <cdr:y>0.0285</cdr:y>
    </cdr:from>
    <cdr:to>
      <cdr:x>0.38361</cdr:x>
      <cdr:y>0.11877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4800" y="57151"/>
          <a:ext cx="7429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0.23372</cdr:x>
      <cdr:y>0.27262</cdr:y>
    </cdr:from>
    <cdr:to>
      <cdr:x>0.45226</cdr:x>
      <cdr:y>0.49352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36644" y="598546"/>
          <a:ext cx="595295" cy="484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/>
            <a:t>Employee</a:t>
          </a:r>
          <a:r>
            <a:rPr lang="en-US" sz="800" baseline="0"/>
            <a:t> labor 32.4</a:t>
          </a:r>
          <a:r>
            <a:rPr lang="en-US" sz="800"/>
            <a:t>%</a:t>
          </a:r>
        </a:p>
      </cdr:txBody>
    </cdr:sp>
  </cdr:relSizeAnchor>
  <cdr:relSizeAnchor xmlns:cdr="http://schemas.openxmlformats.org/drawingml/2006/chartDrawing">
    <cdr:from>
      <cdr:x>0.33751</cdr:x>
      <cdr:y>0.76721</cdr:y>
    </cdr:from>
    <cdr:to>
      <cdr:x>0.66153</cdr:x>
      <cdr:y>0.88408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919375" y="1684417"/>
          <a:ext cx="882620" cy="256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1"/>
              </a:solidFill>
            </a:rPr>
            <a:t>Seed 15.5%</a:t>
          </a:r>
        </a:p>
      </cdr:txBody>
    </cdr:sp>
  </cdr:relSizeAnchor>
  <cdr:relSizeAnchor xmlns:cdr="http://schemas.openxmlformats.org/drawingml/2006/chartDrawing">
    <cdr:from>
      <cdr:x>0</cdr:x>
      <cdr:y>0.46239</cdr:y>
    </cdr:from>
    <cdr:to>
      <cdr:x>0.2197</cdr:x>
      <cdr:y>0.57957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927100"/>
          <a:ext cx="600075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800" baseline="0"/>
        </a:p>
      </cdr:txBody>
    </cdr:sp>
  </cdr:relSizeAnchor>
  <cdr:relSizeAnchor xmlns:cdr="http://schemas.openxmlformats.org/drawingml/2006/chartDrawing">
    <cdr:from>
      <cdr:x>0</cdr:x>
      <cdr:y>0.65399</cdr:y>
    </cdr:from>
    <cdr:to>
      <cdr:x>0.2877</cdr:x>
      <cdr:y>0.87489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1435855"/>
          <a:ext cx="783685" cy="484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Crop insurance 1.1%</a:t>
          </a:r>
        </a:p>
      </cdr:txBody>
    </cdr:sp>
  </cdr:relSizeAnchor>
  <cdr:relSizeAnchor xmlns:cdr="http://schemas.openxmlformats.org/drawingml/2006/chartDrawing">
    <cdr:from>
      <cdr:x>0.10611</cdr:x>
      <cdr:y>0.69445</cdr:y>
    </cdr:from>
    <cdr:to>
      <cdr:x>0.20424</cdr:x>
      <cdr:y>0.72685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8928891D-04E4-4CCE-82D3-A4B809E2698C}"/>
            </a:ext>
          </a:extLst>
        </cdr:cNvPr>
        <cdr:cNvCxnSpPr/>
      </cdr:nvCxnSpPr>
      <cdr:spPr>
        <a:xfrm xmlns:a="http://schemas.openxmlformats.org/drawingml/2006/main" flipV="1">
          <a:off x="289047" y="1524676"/>
          <a:ext cx="267304" cy="7113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0.01372</cdr:x>
      <cdr:y>0.85216</cdr:y>
    </cdr:from>
    <cdr:to>
      <cdr:x>0.35829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7369" y="1870928"/>
          <a:ext cx="938605" cy="3245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Application costs 6.2%</a:t>
          </a:r>
        </a:p>
      </cdr:txBody>
    </cdr:sp>
  </cdr:relSizeAnchor>
  <cdr:relSizeAnchor xmlns:cdr="http://schemas.openxmlformats.org/drawingml/2006/chartDrawing">
    <cdr:from>
      <cdr:x>0.63591</cdr:x>
      <cdr:y>0.85744</cdr:y>
    </cdr:from>
    <cdr:to>
      <cdr:x>0.71939</cdr:x>
      <cdr:y>0.93042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E0A5DB35-EB84-435F-A503-042517B10DA1}"/>
            </a:ext>
          </a:extLst>
        </cdr:cNvPr>
        <cdr:cNvCxnSpPr/>
      </cdr:nvCxnSpPr>
      <cdr:spPr>
        <a:xfrm xmlns:a="http://schemas.openxmlformats.org/drawingml/2006/main" flipH="1" flipV="1">
          <a:off x="1732200" y="1882530"/>
          <a:ext cx="227385" cy="16021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0.1626</cdr:x>
      <cdr:y>0.77735</cdr:y>
    </cdr:from>
    <cdr:to>
      <cdr:x>0.25665</cdr:x>
      <cdr:y>0.86701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2B299155-EF50-493F-B7FE-FB0E449D3D9C}"/>
            </a:ext>
          </a:extLst>
        </cdr:cNvPr>
        <cdr:cNvCxnSpPr/>
      </cdr:nvCxnSpPr>
      <cdr:spPr>
        <a:xfrm xmlns:a="http://schemas.openxmlformats.org/drawingml/2006/main" flipV="1">
          <a:off x="442912" y="1706685"/>
          <a:ext cx="256192" cy="19685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43" zoomScale="145" zoomScaleNormal="145" workbookViewId="0">
      <selection activeCell="A47" sqref="A47"/>
    </sheetView>
  </sheetViews>
  <sheetFormatPr defaultRowHeight="14.4" x14ac:dyDescent="0.3"/>
  <cols>
    <col min="1" max="1" width="2" customWidth="1"/>
    <col min="2" max="2" width="4.88671875" customWidth="1"/>
    <col min="3" max="3" width="10.6640625" customWidth="1"/>
    <col min="4" max="4" width="10.33203125" customWidth="1"/>
    <col min="5" max="5" width="5" customWidth="1"/>
    <col min="6" max="10" width="10.6640625" customWidth="1"/>
    <col min="11" max="11" width="1.33203125" customWidth="1"/>
    <col min="12" max="12" width="4.44140625" customWidth="1"/>
  </cols>
  <sheetData>
    <row r="1" spans="1:14" x14ac:dyDescent="0.3">
      <c r="A1" s="196" t="s">
        <v>83</v>
      </c>
      <c r="B1" s="197"/>
      <c r="C1" s="197"/>
      <c r="D1" s="197"/>
      <c r="E1" s="197"/>
      <c r="F1" s="197"/>
      <c r="G1" s="197"/>
      <c r="H1" s="197"/>
      <c r="I1" s="98"/>
      <c r="J1" s="98"/>
      <c r="K1" s="98"/>
      <c r="L1" s="46"/>
    </row>
    <row r="2" spans="1:14" ht="6" customHeight="1" thickBot="1" x14ac:dyDescent="0.35"/>
    <row r="3" spans="1:14" x14ac:dyDescent="0.3">
      <c r="A3" s="47"/>
      <c r="B3" s="48"/>
      <c r="C3" s="48"/>
      <c r="D3" s="48"/>
      <c r="E3" s="48"/>
      <c r="F3" s="49" t="s">
        <v>5</v>
      </c>
      <c r="G3" s="101"/>
      <c r="H3" s="49" t="s">
        <v>22</v>
      </c>
      <c r="I3" s="49" t="s">
        <v>28</v>
      </c>
      <c r="J3" s="101"/>
      <c r="K3" s="170"/>
    </row>
    <row r="4" spans="1:14" x14ac:dyDescent="0.3">
      <c r="A4" s="50"/>
      <c r="B4" s="51" t="s">
        <v>0</v>
      </c>
      <c r="C4" s="51"/>
      <c r="D4" s="51"/>
      <c r="E4" s="51"/>
      <c r="F4" s="52" t="s">
        <v>6</v>
      </c>
      <c r="G4" s="53" t="s">
        <v>7</v>
      </c>
      <c r="H4" s="52" t="s">
        <v>27</v>
      </c>
      <c r="I4" s="52" t="s">
        <v>6</v>
      </c>
      <c r="J4" s="53" t="s">
        <v>29</v>
      </c>
      <c r="K4" s="171"/>
    </row>
    <row r="5" spans="1:14" ht="22.5" customHeight="1" x14ac:dyDescent="0.3">
      <c r="A5" s="54"/>
      <c r="B5" s="55"/>
      <c r="C5" s="135" t="s">
        <v>32</v>
      </c>
      <c r="D5" s="135"/>
      <c r="E5" s="135"/>
      <c r="F5" s="190">
        <v>1325</v>
      </c>
      <c r="G5" s="71" t="s">
        <v>72</v>
      </c>
      <c r="H5" s="136">
        <v>0.45</v>
      </c>
      <c r="I5" s="136">
        <f>H5*F5</f>
        <v>596.25</v>
      </c>
      <c r="J5" s="136"/>
      <c r="K5" s="172"/>
    </row>
    <row r="6" spans="1:14" x14ac:dyDescent="0.3">
      <c r="A6" s="58"/>
      <c r="B6" s="59" t="s">
        <v>53</v>
      </c>
      <c r="C6" s="60"/>
      <c r="D6" s="60"/>
      <c r="E6" s="60"/>
      <c r="F6" s="61"/>
      <c r="G6" s="61"/>
      <c r="H6" s="62"/>
      <c r="I6" s="63"/>
      <c r="J6" s="63">
        <f>I5</f>
        <v>596.25</v>
      </c>
      <c r="K6" s="64"/>
    </row>
    <row r="7" spans="1:14" ht="7.5" customHeight="1" x14ac:dyDescent="0.3">
      <c r="A7" s="54"/>
      <c r="B7" s="65"/>
      <c r="C7" s="66"/>
      <c r="D7" s="66"/>
      <c r="E7" s="66"/>
      <c r="F7" s="67"/>
      <c r="G7" s="67"/>
      <c r="H7" s="68"/>
      <c r="I7" s="68"/>
      <c r="J7" s="68"/>
      <c r="K7" s="69"/>
      <c r="N7" s="2"/>
    </row>
    <row r="8" spans="1:14" x14ac:dyDescent="0.3">
      <c r="A8" s="50"/>
      <c r="B8" s="70" t="s">
        <v>49</v>
      </c>
      <c r="C8" s="55"/>
      <c r="D8" s="55"/>
      <c r="E8" s="55"/>
      <c r="F8" s="71"/>
      <c r="G8" s="71"/>
      <c r="H8" s="56"/>
      <c r="I8" s="56"/>
      <c r="J8" s="56"/>
      <c r="K8" s="57"/>
    </row>
    <row r="9" spans="1:14" x14ac:dyDescent="0.3">
      <c r="A9" s="50"/>
      <c r="B9" s="70" t="s">
        <v>1</v>
      </c>
      <c r="C9" s="55"/>
      <c r="D9" s="55"/>
      <c r="E9" s="55"/>
      <c r="F9" s="71"/>
      <c r="G9" s="71"/>
      <c r="H9" s="56"/>
      <c r="I9" s="56"/>
      <c r="J9" s="56"/>
      <c r="K9" s="57"/>
      <c r="L9" s="2"/>
    </row>
    <row r="10" spans="1:14" x14ac:dyDescent="0.3">
      <c r="A10" s="50"/>
      <c r="B10" s="70"/>
      <c r="C10" s="55" t="s">
        <v>42</v>
      </c>
      <c r="D10" s="55" t="s">
        <v>43</v>
      </c>
      <c r="E10" s="55"/>
      <c r="F10" s="71">
        <v>50</v>
      </c>
      <c r="G10" s="71" t="s">
        <v>8</v>
      </c>
      <c r="H10" s="56">
        <v>1.1354200000000001</v>
      </c>
      <c r="I10" s="56">
        <f>H10*F10</f>
        <v>56.771000000000008</v>
      </c>
      <c r="J10" s="56"/>
      <c r="K10" s="57"/>
    </row>
    <row r="11" spans="1:14" x14ac:dyDescent="0.3">
      <c r="A11" s="50"/>
      <c r="B11" s="70"/>
      <c r="C11" s="55" t="s">
        <v>41</v>
      </c>
      <c r="D11" s="55" t="s">
        <v>54</v>
      </c>
      <c r="E11" s="55"/>
      <c r="F11" s="71">
        <v>50</v>
      </c>
      <c r="G11" s="71" t="s">
        <v>8</v>
      </c>
      <c r="H11" s="56">
        <v>0.84441999999999995</v>
      </c>
      <c r="I11" s="56">
        <f>H11*F11</f>
        <v>42.220999999999997</v>
      </c>
      <c r="J11" s="56" t="s">
        <v>44</v>
      </c>
      <c r="K11" s="57"/>
    </row>
    <row r="12" spans="1:14" x14ac:dyDescent="0.3">
      <c r="A12" s="50"/>
      <c r="B12" s="70"/>
      <c r="C12" s="55" t="s">
        <v>9</v>
      </c>
      <c r="D12" s="55"/>
      <c r="E12" s="55"/>
      <c r="F12" s="71">
        <v>1</v>
      </c>
      <c r="G12" s="71" t="s">
        <v>10</v>
      </c>
      <c r="H12" s="56">
        <v>7.65</v>
      </c>
      <c r="I12" s="56">
        <f t="shared" ref="I12:I29" si="0">H12*F12</f>
        <v>7.65</v>
      </c>
      <c r="J12" s="56"/>
      <c r="K12" s="57"/>
    </row>
    <row r="13" spans="1:14" x14ac:dyDescent="0.3">
      <c r="A13" s="50"/>
      <c r="B13" s="70" t="s">
        <v>2</v>
      </c>
      <c r="C13" s="55"/>
      <c r="D13" s="55"/>
      <c r="E13" s="55"/>
      <c r="F13" s="71"/>
      <c r="G13" s="71"/>
      <c r="H13" s="56"/>
      <c r="I13" s="56"/>
      <c r="J13" s="56"/>
      <c r="K13" s="57"/>
    </row>
    <row r="14" spans="1:14" x14ac:dyDescent="0.3">
      <c r="A14" s="50"/>
      <c r="B14" s="70"/>
      <c r="C14" s="55" t="s">
        <v>33</v>
      </c>
      <c r="D14" s="55"/>
      <c r="E14" s="55"/>
      <c r="F14" s="71">
        <v>24</v>
      </c>
      <c r="G14" s="71" t="s">
        <v>34</v>
      </c>
      <c r="H14" s="56">
        <v>0.33200000000000002</v>
      </c>
      <c r="I14" s="56">
        <f t="shared" si="0"/>
        <v>7.968</v>
      </c>
      <c r="J14" s="56"/>
      <c r="K14" s="57"/>
    </row>
    <row r="15" spans="1:14" x14ac:dyDescent="0.3">
      <c r="A15" s="50"/>
      <c r="B15" s="70"/>
      <c r="C15" s="55" t="s">
        <v>55</v>
      </c>
      <c r="D15" s="55"/>
      <c r="E15" s="55"/>
      <c r="F15" s="71">
        <v>6</v>
      </c>
      <c r="G15" s="71" t="s">
        <v>34</v>
      </c>
      <c r="H15" s="56">
        <v>2.78</v>
      </c>
      <c r="I15" s="56">
        <f t="shared" si="0"/>
        <v>16.68</v>
      </c>
      <c r="J15" s="56"/>
      <c r="K15" s="57"/>
    </row>
    <row r="16" spans="1:14" x14ac:dyDescent="0.3">
      <c r="A16" s="50"/>
      <c r="B16" s="70"/>
      <c r="C16" s="55" t="s">
        <v>38</v>
      </c>
      <c r="D16" s="55"/>
      <c r="E16" s="55"/>
      <c r="F16" s="71">
        <v>1</v>
      </c>
      <c r="G16" s="71" t="s">
        <v>35</v>
      </c>
      <c r="H16" s="56">
        <v>10.565</v>
      </c>
      <c r="I16" s="56">
        <f t="shared" si="0"/>
        <v>10.565</v>
      </c>
      <c r="J16" s="56"/>
      <c r="K16" s="57"/>
    </row>
    <row r="17" spans="1:11" x14ac:dyDescent="0.3">
      <c r="A17" s="50"/>
      <c r="B17" s="70"/>
      <c r="C17" s="55" t="s">
        <v>36</v>
      </c>
      <c r="D17" s="55"/>
      <c r="E17" s="55"/>
      <c r="F17" s="71">
        <v>6</v>
      </c>
      <c r="G17" s="71" t="s">
        <v>34</v>
      </c>
      <c r="H17" s="56">
        <v>0.67578000000000005</v>
      </c>
      <c r="I17" s="56">
        <f t="shared" si="0"/>
        <v>4.0546800000000003</v>
      </c>
      <c r="J17" s="56"/>
      <c r="K17" s="57"/>
    </row>
    <row r="18" spans="1:11" x14ac:dyDescent="0.3">
      <c r="A18" s="50"/>
      <c r="B18" s="70"/>
      <c r="C18" s="55" t="s">
        <v>9</v>
      </c>
      <c r="D18" s="55"/>
      <c r="E18" s="55"/>
      <c r="F18" s="71">
        <v>2</v>
      </c>
      <c r="G18" s="71" t="s">
        <v>10</v>
      </c>
      <c r="H18" s="56">
        <v>7.8</v>
      </c>
      <c r="I18" s="56">
        <f t="shared" si="0"/>
        <v>15.6</v>
      </c>
      <c r="J18" s="56"/>
      <c r="K18" s="57"/>
    </row>
    <row r="19" spans="1:11" x14ac:dyDescent="0.3">
      <c r="A19" s="50"/>
      <c r="B19" s="70" t="s">
        <v>3</v>
      </c>
      <c r="C19" s="55"/>
      <c r="D19" s="55"/>
      <c r="E19" s="55"/>
      <c r="F19" s="71">
        <v>45</v>
      </c>
      <c r="G19" s="71" t="s">
        <v>72</v>
      </c>
      <c r="H19" s="56">
        <v>0.5</v>
      </c>
      <c r="I19" s="56">
        <f t="shared" si="0"/>
        <v>22.5</v>
      </c>
      <c r="J19" s="56"/>
      <c r="K19" s="57"/>
    </row>
    <row r="20" spans="1:11" x14ac:dyDescent="0.3">
      <c r="A20" s="50"/>
      <c r="B20" s="70" t="s">
        <v>56</v>
      </c>
      <c r="C20" s="55"/>
      <c r="D20" s="55"/>
      <c r="E20" s="55"/>
      <c r="F20" s="71">
        <v>1</v>
      </c>
      <c r="G20" s="71" t="s">
        <v>10</v>
      </c>
      <c r="H20" s="56">
        <v>46.89</v>
      </c>
      <c r="I20" s="56">
        <f t="shared" si="0"/>
        <v>46.89</v>
      </c>
      <c r="J20" s="56"/>
      <c r="K20" s="57"/>
    </row>
    <row r="21" spans="1:11" ht="19.5" customHeight="1" x14ac:dyDescent="0.3">
      <c r="A21" s="50"/>
      <c r="B21" s="137" t="s">
        <v>57</v>
      </c>
      <c r="C21" s="138"/>
      <c r="D21" s="138"/>
      <c r="E21" s="138"/>
      <c r="F21" s="139"/>
      <c r="G21" s="139"/>
      <c r="H21" s="140"/>
      <c r="I21" s="140">
        <v>1.63</v>
      </c>
      <c r="J21" s="56"/>
      <c r="K21" s="173"/>
    </row>
    <row r="22" spans="1:11" x14ac:dyDescent="0.3">
      <c r="A22" s="102"/>
      <c r="B22" s="59" t="s">
        <v>58</v>
      </c>
      <c r="C22" s="60"/>
      <c r="D22" s="60"/>
      <c r="E22" s="60"/>
      <c r="F22" s="61"/>
      <c r="G22" s="61"/>
      <c r="H22" s="62"/>
      <c r="I22" s="63"/>
      <c r="J22" s="63">
        <f>SUM(I10:I21)</f>
        <v>232.52967999999998</v>
      </c>
      <c r="K22" s="64"/>
    </row>
    <row r="23" spans="1:11" ht="7.5" customHeight="1" x14ac:dyDescent="0.3">
      <c r="A23" s="54"/>
      <c r="B23" s="65"/>
      <c r="C23" s="66"/>
      <c r="D23" s="66"/>
      <c r="E23" s="66"/>
      <c r="F23" s="67"/>
      <c r="G23" s="67"/>
      <c r="H23" s="68"/>
      <c r="I23" s="78"/>
      <c r="J23" s="78"/>
      <c r="K23" s="79"/>
    </row>
    <row r="24" spans="1:11" x14ac:dyDescent="0.3">
      <c r="A24" s="50"/>
      <c r="B24" s="70" t="s">
        <v>59</v>
      </c>
      <c r="C24" s="55"/>
      <c r="D24" s="55"/>
      <c r="E24" s="55"/>
      <c r="F24" s="72" t="s">
        <v>16</v>
      </c>
      <c r="G24" s="72" t="s">
        <v>7</v>
      </c>
      <c r="H24" s="80" t="s">
        <v>17</v>
      </c>
      <c r="I24" s="81" t="s">
        <v>10</v>
      </c>
      <c r="J24" s="81"/>
      <c r="K24" s="82"/>
    </row>
    <row r="25" spans="1:11" x14ac:dyDescent="0.3">
      <c r="A25" s="50"/>
      <c r="B25" s="70"/>
      <c r="C25" s="55" t="s">
        <v>60</v>
      </c>
      <c r="D25" s="55"/>
      <c r="E25" s="55"/>
      <c r="F25" s="71">
        <v>1</v>
      </c>
      <c r="G25" s="71" t="s">
        <v>10</v>
      </c>
      <c r="H25" s="56">
        <v>20.45</v>
      </c>
      <c r="I25" s="56">
        <f t="shared" si="0"/>
        <v>20.45</v>
      </c>
      <c r="J25" s="56"/>
      <c r="K25" s="57"/>
    </row>
    <row r="26" spans="1:11" x14ac:dyDescent="0.3">
      <c r="A26" s="50"/>
      <c r="B26" s="70"/>
      <c r="C26" s="55" t="s">
        <v>61</v>
      </c>
      <c r="D26" s="55"/>
      <c r="E26" s="55"/>
      <c r="F26" s="71">
        <v>1</v>
      </c>
      <c r="G26" s="71" t="s">
        <v>10</v>
      </c>
      <c r="H26" s="56">
        <v>15.9</v>
      </c>
      <c r="I26" s="56">
        <f t="shared" si="0"/>
        <v>15.9</v>
      </c>
      <c r="J26" s="56"/>
      <c r="K26" s="57"/>
    </row>
    <row r="27" spans="1:11" x14ac:dyDescent="0.3">
      <c r="A27" s="50"/>
      <c r="B27" s="70"/>
      <c r="C27" s="55" t="s">
        <v>13</v>
      </c>
      <c r="D27" s="55"/>
      <c r="E27" s="55"/>
      <c r="F27" s="71">
        <v>1</v>
      </c>
      <c r="G27" s="71" t="s">
        <v>10</v>
      </c>
      <c r="H27" s="56">
        <v>19.5</v>
      </c>
      <c r="I27" s="56">
        <f t="shared" si="0"/>
        <v>19.5</v>
      </c>
      <c r="J27" s="56"/>
      <c r="K27" s="57"/>
    </row>
    <row r="28" spans="1:11" x14ac:dyDescent="0.3">
      <c r="A28" s="50"/>
      <c r="B28" s="70"/>
      <c r="C28" s="55" t="s">
        <v>14</v>
      </c>
      <c r="D28" s="55"/>
      <c r="E28" s="55"/>
      <c r="F28" s="71">
        <v>1</v>
      </c>
      <c r="G28" s="71" t="s">
        <v>10</v>
      </c>
      <c r="H28" s="56">
        <v>34.69</v>
      </c>
      <c r="I28" s="56">
        <f t="shared" si="0"/>
        <v>34.69</v>
      </c>
      <c r="J28" s="56"/>
      <c r="K28" s="57"/>
    </row>
    <row r="29" spans="1:11" ht="19.5" customHeight="1" x14ac:dyDescent="0.3">
      <c r="A29" s="50"/>
      <c r="B29" s="51"/>
      <c r="C29" s="141" t="s">
        <v>15</v>
      </c>
      <c r="D29" s="141"/>
      <c r="E29" s="141"/>
      <c r="F29" s="191">
        <v>24.5</v>
      </c>
      <c r="G29" s="142" t="s">
        <v>40</v>
      </c>
      <c r="H29" s="143">
        <v>0.08</v>
      </c>
      <c r="I29" s="143">
        <f t="shared" si="0"/>
        <v>1.96</v>
      </c>
      <c r="J29" s="56"/>
      <c r="K29" s="173"/>
    </row>
    <row r="30" spans="1:11" x14ac:dyDescent="0.3">
      <c r="A30" s="102"/>
      <c r="B30" s="59" t="s">
        <v>62</v>
      </c>
      <c r="C30" s="60"/>
      <c r="D30" s="60"/>
      <c r="E30" s="60"/>
      <c r="F30" s="61"/>
      <c r="G30" s="61"/>
      <c r="H30" s="60"/>
      <c r="I30" s="105"/>
      <c r="J30" s="63">
        <f>SUM(I25:I29)</f>
        <v>92.499999999999986</v>
      </c>
      <c r="K30" s="64"/>
    </row>
    <row r="31" spans="1:11" x14ac:dyDescent="0.3">
      <c r="A31" s="103"/>
      <c r="B31" s="107" t="s">
        <v>63</v>
      </c>
      <c r="C31" s="106"/>
      <c r="D31" s="106"/>
      <c r="E31" s="106"/>
      <c r="F31" s="108" t="s">
        <v>30</v>
      </c>
      <c r="G31" s="108" t="s">
        <v>11</v>
      </c>
      <c r="H31" s="109" t="s">
        <v>12</v>
      </c>
      <c r="I31" s="104"/>
      <c r="J31" s="166"/>
      <c r="K31" s="163"/>
    </row>
    <row r="32" spans="1:11" x14ac:dyDescent="0.3">
      <c r="A32" s="162"/>
      <c r="B32" s="65"/>
      <c r="C32" s="66"/>
      <c r="D32" s="66"/>
      <c r="E32" s="66"/>
      <c r="F32" s="158">
        <v>7.0000000000000007E-2</v>
      </c>
      <c r="G32" s="67">
        <v>0.5</v>
      </c>
      <c r="H32" s="159">
        <f>(SUM(I9:I21)+I40)</f>
        <v>267.52967999999998</v>
      </c>
      <c r="I32" s="160"/>
      <c r="J32" s="161">
        <f>H32*G32*F32</f>
        <v>9.3635388000000006</v>
      </c>
      <c r="K32" s="163"/>
    </row>
    <row r="33" spans="1:11" ht="6" customHeight="1" x14ac:dyDescent="0.3">
      <c r="A33" s="50"/>
      <c r="B33" s="85"/>
      <c r="C33" s="86"/>
      <c r="D33" s="86"/>
      <c r="E33" s="86"/>
      <c r="F33" s="87"/>
      <c r="G33" s="87"/>
      <c r="H33" s="86"/>
      <c r="I33" s="88"/>
      <c r="J33" s="88"/>
      <c r="K33" s="89"/>
    </row>
    <row r="34" spans="1:11" x14ac:dyDescent="0.3">
      <c r="A34" s="58"/>
      <c r="B34" s="59" t="s">
        <v>64</v>
      </c>
      <c r="C34" s="60"/>
      <c r="D34" s="60"/>
      <c r="E34" s="60"/>
      <c r="F34" s="61"/>
      <c r="G34" s="61"/>
      <c r="H34" s="60"/>
      <c r="I34" s="63"/>
      <c r="J34" s="164">
        <f>J32+J30+J22</f>
        <v>334.3932188</v>
      </c>
      <c r="K34" s="64"/>
    </row>
    <row r="35" spans="1:11" ht="7.5" customHeight="1" x14ac:dyDescent="0.3">
      <c r="A35" s="54"/>
      <c r="B35" s="51"/>
      <c r="C35" s="73"/>
      <c r="D35" s="73"/>
      <c r="E35" s="73"/>
      <c r="F35" s="83"/>
      <c r="G35" s="83"/>
      <c r="H35" s="73"/>
      <c r="I35" s="90"/>
      <c r="J35" s="167"/>
      <c r="K35" s="91"/>
    </row>
    <row r="36" spans="1:11" x14ac:dyDescent="0.3">
      <c r="A36" s="58"/>
      <c r="B36" s="74" t="s">
        <v>48</v>
      </c>
      <c r="C36" s="75"/>
      <c r="D36" s="75"/>
      <c r="E36" s="75"/>
      <c r="F36" s="76"/>
      <c r="G36" s="76"/>
      <c r="H36" s="75"/>
      <c r="I36" s="92"/>
      <c r="J36" s="92">
        <f>J6-J34</f>
        <v>261.8567812</v>
      </c>
      <c r="K36" s="174"/>
    </row>
    <row r="37" spans="1:11" ht="5.25" customHeight="1" x14ac:dyDescent="0.3">
      <c r="A37" s="54"/>
      <c r="B37" s="65"/>
      <c r="C37" s="66"/>
      <c r="D37" s="66"/>
      <c r="E37" s="66"/>
      <c r="F37" s="67"/>
      <c r="G37" s="67"/>
      <c r="H37" s="66"/>
      <c r="I37" s="78"/>
      <c r="J37" s="78"/>
      <c r="K37" s="79"/>
    </row>
    <row r="38" spans="1:11" x14ac:dyDescent="0.3">
      <c r="A38" s="50"/>
      <c r="B38" s="70" t="s">
        <v>4</v>
      </c>
      <c r="C38" s="55"/>
      <c r="D38" s="55"/>
      <c r="E38" s="55"/>
      <c r="F38" s="71"/>
      <c r="G38" s="71"/>
      <c r="H38" s="55"/>
      <c r="I38" s="56"/>
      <c r="J38" s="56"/>
      <c r="K38" s="57"/>
    </row>
    <row r="39" spans="1:11" x14ac:dyDescent="0.3">
      <c r="A39" s="50"/>
      <c r="B39" s="70"/>
      <c r="C39" s="55" t="s">
        <v>18</v>
      </c>
      <c r="D39" s="55"/>
      <c r="E39" s="55"/>
      <c r="F39" s="71"/>
      <c r="G39" s="71"/>
      <c r="H39" s="55"/>
      <c r="I39" s="56">
        <v>17.5</v>
      </c>
      <c r="J39" s="56"/>
      <c r="K39" s="57"/>
    </row>
    <row r="40" spans="1:11" x14ac:dyDescent="0.3">
      <c r="A40" s="50"/>
      <c r="B40" s="70"/>
      <c r="C40" s="55" t="s">
        <v>39</v>
      </c>
      <c r="D40" s="55"/>
      <c r="E40" s="55"/>
      <c r="F40" s="71"/>
      <c r="G40" s="71"/>
      <c r="H40" s="55"/>
      <c r="I40" s="56">
        <v>35</v>
      </c>
      <c r="J40" s="56"/>
      <c r="K40" s="57"/>
    </row>
    <row r="41" spans="1:11" ht="6" customHeight="1" x14ac:dyDescent="0.3">
      <c r="A41" s="50"/>
      <c r="B41" s="51"/>
      <c r="C41" s="73"/>
      <c r="D41" s="73"/>
      <c r="E41" s="73"/>
      <c r="F41" s="83"/>
      <c r="G41" s="83"/>
      <c r="H41" s="73"/>
      <c r="I41" s="84"/>
      <c r="J41" s="56"/>
      <c r="K41" s="173"/>
    </row>
    <row r="42" spans="1:11" x14ac:dyDescent="0.3">
      <c r="A42" s="58"/>
      <c r="B42" s="74" t="s">
        <v>65</v>
      </c>
      <c r="C42" s="75"/>
      <c r="D42" s="75"/>
      <c r="E42" s="75"/>
      <c r="F42" s="76"/>
      <c r="G42" s="76"/>
      <c r="H42" s="75"/>
      <c r="I42" s="77"/>
      <c r="J42" s="63">
        <f>I39+I40+I41</f>
        <v>52.5</v>
      </c>
      <c r="K42" s="64"/>
    </row>
    <row r="43" spans="1:11" ht="21" customHeight="1" x14ac:dyDescent="0.3">
      <c r="A43" s="147"/>
      <c r="B43" s="144" t="s">
        <v>46</v>
      </c>
      <c r="C43" s="145"/>
      <c r="D43" s="145"/>
      <c r="E43" s="145"/>
      <c r="F43" s="83"/>
      <c r="G43" s="83"/>
      <c r="H43" s="145"/>
      <c r="I43" s="146"/>
      <c r="J43" s="165">
        <f>J42+J34</f>
        <v>386.8932188</v>
      </c>
      <c r="K43" s="175"/>
    </row>
    <row r="44" spans="1:11" ht="15" thickBot="1" x14ac:dyDescent="0.35">
      <c r="A44" s="93"/>
      <c r="B44" s="94" t="s">
        <v>66</v>
      </c>
      <c r="C44" s="95"/>
      <c r="D44" s="95"/>
      <c r="E44" s="95"/>
      <c r="F44" s="96"/>
      <c r="G44" s="96"/>
      <c r="H44" s="95"/>
      <c r="I44" s="97"/>
      <c r="J44" s="168">
        <f>J6-J43</f>
        <v>209.3567812</v>
      </c>
      <c r="K44" s="110"/>
    </row>
    <row r="45" spans="1:11" ht="31.5" customHeight="1" thickBot="1" x14ac:dyDescent="0.35">
      <c r="F45" s="1"/>
      <c r="G45" s="1"/>
      <c r="K45" s="2"/>
    </row>
    <row r="46" spans="1:11" x14ac:dyDescent="0.3">
      <c r="A46" s="152" t="s">
        <v>67</v>
      </c>
      <c r="B46" s="152"/>
      <c r="C46" s="188"/>
      <c r="D46" s="188"/>
      <c r="E46" s="188"/>
      <c r="F46" s="153"/>
      <c r="G46" s="204" t="s">
        <v>69</v>
      </c>
      <c r="H46" s="205"/>
      <c r="I46" s="205"/>
      <c r="J46" s="205"/>
      <c r="K46" s="154"/>
    </row>
    <row r="47" spans="1:11" x14ac:dyDescent="0.3">
      <c r="A47" s="111" t="s">
        <v>85</v>
      </c>
      <c r="B47" s="111"/>
      <c r="C47" s="112"/>
      <c r="D47" s="113"/>
      <c r="E47" s="198">
        <f>J34/H5</f>
        <v>743.09604177777771</v>
      </c>
      <c r="F47" s="199"/>
      <c r="G47" s="155" t="s">
        <v>70</v>
      </c>
      <c r="H47" s="112"/>
      <c r="I47" s="206">
        <f>J34/F5</f>
        <v>0.25237224060377361</v>
      </c>
      <c r="J47" s="206"/>
      <c r="K47" s="189"/>
    </row>
    <row r="48" spans="1:11" x14ac:dyDescent="0.3">
      <c r="A48" s="111" t="s">
        <v>68</v>
      </c>
      <c r="B48" s="111"/>
      <c r="C48" s="112"/>
      <c r="D48" s="113"/>
      <c r="E48" s="202">
        <f>J42/H5</f>
        <v>116.66666666666666</v>
      </c>
      <c r="F48" s="203"/>
      <c r="G48" s="156" t="s">
        <v>71</v>
      </c>
      <c r="H48" s="112"/>
      <c r="I48" s="208">
        <f>J42/F5</f>
        <v>3.962264150943396E-2</v>
      </c>
      <c r="J48" s="208"/>
      <c r="K48" s="189"/>
    </row>
    <row r="49" spans="1:11" ht="15" thickBot="1" x14ac:dyDescent="0.35">
      <c r="A49" s="114" t="s">
        <v>46</v>
      </c>
      <c r="B49" s="114"/>
      <c r="C49" s="115"/>
      <c r="D49" s="115"/>
      <c r="E49" s="200">
        <f>J43/H5</f>
        <v>859.76270844444446</v>
      </c>
      <c r="F49" s="201"/>
      <c r="G49" s="157" t="s">
        <v>46</v>
      </c>
      <c r="H49" s="115"/>
      <c r="I49" s="207">
        <v>0.28999999999999998</v>
      </c>
      <c r="J49" s="207"/>
      <c r="K49" s="169"/>
    </row>
  </sheetData>
  <mergeCells count="8">
    <mergeCell ref="A1:H1"/>
    <mergeCell ref="E47:F47"/>
    <mergeCell ref="E49:F49"/>
    <mergeCell ref="E48:F48"/>
    <mergeCell ref="G46:J46"/>
    <mergeCell ref="I47:J47"/>
    <mergeCell ref="I49:J49"/>
    <mergeCell ref="I48:J48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opLeftCell="A40" zoomScale="150" zoomScaleNormal="150" workbookViewId="0">
      <selection activeCell="A28" sqref="A28"/>
    </sheetView>
  </sheetViews>
  <sheetFormatPr defaultRowHeight="14.4" x14ac:dyDescent="0.3"/>
  <cols>
    <col min="1" max="1" width="13.6640625" customWidth="1"/>
    <col min="2" max="6" width="14.33203125" customWidth="1"/>
  </cols>
  <sheetData>
    <row r="1" spans="1:6" ht="12.9" customHeight="1" x14ac:dyDescent="0.3">
      <c r="A1" s="193" t="s">
        <v>73</v>
      </c>
    </row>
    <row r="2" spans="1:6" ht="12.9" customHeight="1" x14ac:dyDescent="0.3">
      <c r="A2" s="4" t="s">
        <v>46</v>
      </c>
      <c r="B2" s="209" t="s">
        <v>74</v>
      </c>
      <c r="C2" s="210"/>
      <c r="D2" s="210"/>
      <c r="E2" s="210"/>
      <c r="F2" s="211"/>
    </row>
    <row r="3" spans="1:6" ht="12.9" customHeight="1" x14ac:dyDescent="0.3">
      <c r="A3" s="5" t="s">
        <v>19</v>
      </c>
      <c r="B3" s="27">
        <f>D3-100</f>
        <v>496.25</v>
      </c>
      <c r="C3" s="28">
        <f>D3-50</f>
        <v>546.25</v>
      </c>
      <c r="D3" s="26">
        <f>Table!J6</f>
        <v>596.25</v>
      </c>
      <c r="E3" s="28">
        <f>D3+50</f>
        <v>646.25</v>
      </c>
      <c r="F3" s="29">
        <f>E3+100</f>
        <v>746.25</v>
      </c>
    </row>
    <row r="4" spans="1:6" ht="12.9" customHeight="1" x14ac:dyDescent="0.3">
      <c r="A4" s="22">
        <f>A6-100</f>
        <v>286.8932188</v>
      </c>
      <c r="B4" s="34">
        <f>B3-A4</f>
        <v>209.3567812</v>
      </c>
      <c r="C4" s="35">
        <f>C3-A4</f>
        <v>259.3567812</v>
      </c>
      <c r="D4" s="35">
        <f>D3-A4</f>
        <v>309.3567812</v>
      </c>
      <c r="E4" s="35">
        <f>E3-A4</f>
        <v>359.3567812</v>
      </c>
      <c r="F4" s="36">
        <f>F3-A4</f>
        <v>459.3567812</v>
      </c>
    </row>
    <row r="5" spans="1:6" ht="12.9" customHeight="1" x14ac:dyDescent="0.3">
      <c r="A5" s="23">
        <f>A6-50</f>
        <v>336.8932188</v>
      </c>
      <c r="B5" s="176">
        <f>B3-A5</f>
        <v>159.3567812</v>
      </c>
      <c r="C5" s="176">
        <f>C3-A5</f>
        <v>209.3567812</v>
      </c>
      <c r="D5" s="176">
        <f>D3-A5</f>
        <v>259.3567812</v>
      </c>
      <c r="E5" s="176">
        <f>E3-A5</f>
        <v>309.3567812</v>
      </c>
      <c r="F5" s="177">
        <f>F3-A5</f>
        <v>409.3567812</v>
      </c>
    </row>
    <row r="6" spans="1:6" ht="12.9" customHeight="1" x14ac:dyDescent="0.3">
      <c r="A6" s="24">
        <f>Table!J43</f>
        <v>386.8932188</v>
      </c>
      <c r="B6" s="178">
        <f>B3-A6</f>
        <v>109.3567812</v>
      </c>
      <c r="C6" s="178">
        <f>C3-A6</f>
        <v>159.3567812</v>
      </c>
      <c r="D6" s="178">
        <f>D3-A6</f>
        <v>209.3567812</v>
      </c>
      <c r="E6" s="178">
        <f>E3-A6</f>
        <v>259.3567812</v>
      </c>
      <c r="F6" s="179">
        <f>F3-A6</f>
        <v>359.3567812</v>
      </c>
    </row>
    <row r="7" spans="1:6" ht="12.9" customHeight="1" x14ac:dyDescent="0.3">
      <c r="A7" s="23">
        <f>A6+50</f>
        <v>436.8932188</v>
      </c>
      <c r="B7" s="176">
        <f>B3-A7</f>
        <v>59.3567812</v>
      </c>
      <c r="C7" s="176">
        <f>C3-A7</f>
        <v>109.3567812</v>
      </c>
      <c r="D7" s="176">
        <f>D3-A7</f>
        <v>159.3567812</v>
      </c>
      <c r="E7" s="176">
        <f>E3-A7</f>
        <v>209.3567812</v>
      </c>
      <c r="F7" s="177">
        <f>F3-A7</f>
        <v>309.3567812</v>
      </c>
    </row>
    <row r="8" spans="1:6" ht="12.9" customHeight="1" x14ac:dyDescent="0.3">
      <c r="A8" s="25">
        <f>A6+100</f>
        <v>486.8932188</v>
      </c>
      <c r="B8" s="192">
        <f>B3-A8</f>
        <v>9.3567812000000004</v>
      </c>
      <c r="C8" s="183">
        <f>C3-A8</f>
        <v>59.3567812</v>
      </c>
      <c r="D8" s="183">
        <f>D3-A8</f>
        <v>109.3567812</v>
      </c>
      <c r="E8" s="183">
        <f>E3-A8</f>
        <v>159.3567812</v>
      </c>
      <c r="F8" s="180">
        <f>F3-A8</f>
        <v>259.3567812</v>
      </c>
    </row>
    <row r="9" spans="1:6" ht="12.9" customHeight="1" x14ac:dyDescent="0.3"/>
    <row r="10" spans="1:6" ht="12.9" customHeight="1" x14ac:dyDescent="0.3">
      <c r="A10" s="194" t="s">
        <v>78</v>
      </c>
      <c r="B10" s="3"/>
      <c r="C10" s="3"/>
      <c r="D10" s="3"/>
      <c r="E10" s="3"/>
      <c r="F10" s="3"/>
    </row>
    <row r="11" spans="1:6" ht="12.9" customHeight="1" x14ac:dyDescent="0.3">
      <c r="A11" s="4" t="s">
        <v>20</v>
      </c>
      <c r="B11" s="209" t="s">
        <v>74</v>
      </c>
      <c r="C11" s="210"/>
      <c r="D11" s="210"/>
      <c r="E11" s="210"/>
      <c r="F11" s="211"/>
    </row>
    <row r="12" spans="1:6" ht="12.9" customHeight="1" x14ac:dyDescent="0.3">
      <c r="A12" s="5" t="s">
        <v>75</v>
      </c>
      <c r="B12" s="27">
        <f>B3</f>
        <v>496.25</v>
      </c>
      <c r="C12" s="28">
        <f>C3</f>
        <v>546.25</v>
      </c>
      <c r="D12" s="28">
        <f>D3</f>
        <v>596.25</v>
      </c>
      <c r="E12" s="28">
        <f>E3</f>
        <v>646.25</v>
      </c>
      <c r="F12" s="29">
        <f>F3</f>
        <v>746.25</v>
      </c>
    </row>
    <row r="13" spans="1:6" ht="12.9" customHeight="1" x14ac:dyDescent="0.3">
      <c r="A13" s="30">
        <f>A15+50</f>
        <v>259.3567812</v>
      </c>
      <c r="B13" s="6">
        <f>A13/B12</f>
        <v>0.52263331224181364</v>
      </c>
      <c r="C13" s="7">
        <f>A13/C12</f>
        <v>0.474795022791762</v>
      </c>
      <c r="D13" s="7">
        <f>A13/D12</f>
        <v>0.43497992654088052</v>
      </c>
      <c r="E13" s="7">
        <f>A13/E12</f>
        <v>0.40132577361702126</v>
      </c>
      <c r="F13" s="8">
        <f>A13/F12</f>
        <v>0.34754677547738694</v>
      </c>
    </row>
    <row r="14" spans="1:6" ht="12.9" customHeight="1" x14ac:dyDescent="0.3">
      <c r="A14" s="31">
        <f>A15+25</f>
        <v>234.3567812</v>
      </c>
      <c r="B14" s="9">
        <f>A14/B12</f>
        <v>0.472255478488665</v>
      </c>
      <c r="C14" s="10">
        <f>A14/C12</f>
        <v>0.42902843240274602</v>
      </c>
      <c r="D14" s="10">
        <f>A14/D12</f>
        <v>0.39305120536687632</v>
      </c>
      <c r="E14" s="10">
        <f>A14/E12</f>
        <v>0.36264105408123792</v>
      </c>
      <c r="F14" s="11">
        <f>A14/F12</f>
        <v>0.31404593795644892</v>
      </c>
    </row>
    <row r="15" spans="1:6" ht="12.9" customHeight="1" x14ac:dyDescent="0.3">
      <c r="A15" s="32">
        <f>Table!J44</f>
        <v>209.3567812</v>
      </c>
      <c r="B15" s="12">
        <f>A15/B12</f>
        <v>0.42187764473551637</v>
      </c>
      <c r="C15" s="13">
        <f>A15/C12</f>
        <v>0.38326184201372998</v>
      </c>
      <c r="D15" s="13">
        <f>A15/D12</f>
        <v>0.35112248419287212</v>
      </c>
      <c r="E15" s="13">
        <f>A15/E12</f>
        <v>0.32395633454545453</v>
      </c>
      <c r="F15" s="14">
        <f>A15/F12</f>
        <v>0.2805451004355109</v>
      </c>
    </row>
    <row r="16" spans="1:6" ht="12.9" customHeight="1" x14ac:dyDescent="0.3">
      <c r="A16" s="31">
        <f>A15-9</f>
        <v>200.3567812</v>
      </c>
      <c r="B16" s="9">
        <f>A16/B12</f>
        <v>0.4037416245843829</v>
      </c>
      <c r="C16" s="10">
        <f>A16/C12</f>
        <v>0.36678586947368419</v>
      </c>
      <c r="D16" s="10">
        <f>A16/D12</f>
        <v>0.33602814457023061</v>
      </c>
      <c r="E16" s="10">
        <f>A16/E12</f>
        <v>0.31002983551257252</v>
      </c>
      <c r="F16" s="11">
        <f>A16/F12</f>
        <v>0.26848479892797322</v>
      </c>
    </row>
    <row r="17" spans="1:8" ht="12.9" customHeight="1" x14ac:dyDescent="0.3">
      <c r="A17" s="33">
        <f>A15-14</f>
        <v>195.3567812</v>
      </c>
      <c r="B17" s="15">
        <f>A17/B12</f>
        <v>0.39366605783375314</v>
      </c>
      <c r="C17" s="16">
        <f>A17/C12</f>
        <v>0.35763255139588102</v>
      </c>
      <c r="D17" s="16">
        <f>A17/D12</f>
        <v>0.3276424003354298</v>
      </c>
      <c r="E17" s="16">
        <f>A17/E12</f>
        <v>0.30229289160541584</v>
      </c>
      <c r="F17" s="17">
        <f>A17/F12</f>
        <v>0.26178463142378561</v>
      </c>
    </row>
    <row r="18" spans="1:8" ht="12.9" customHeight="1" x14ac:dyDescent="0.3"/>
    <row r="19" spans="1:8" ht="12.9" customHeight="1" x14ac:dyDescent="0.3">
      <c r="A19" s="194" t="s">
        <v>79</v>
      </c>
      <c r="B19" s="3"/>
      <c r="C19" s="3"/>
    </row>
    <row r="20" spans="1:8" ht="12.9" customHeight="1" x14ac:dyDescent="0.3">
      <c r="A20" s="4" t="s">
        <v>76</v>
      </c>
      <c r="B20" s="209" t="s">
        <v>74</v>
      </c>
      <c r="C20" s="210"/>
      <c r="D20" s="210"/>
      <c r="E20" s="210"/>
      <c r="F20" s="211"/>
    </row>
    <row r="21" spans="1:8" ht="12.9" customHeight="1" x14ac:dyDescent="0.3">
      <c r="A21" s="5" t="s">
        <v>6</v>
      </c>
      <c r="B21" s="27">
        <f>D21-100</f>
        <v>496.25</v>
      </c>
      <c r="C21" s="28">
        <f>D21-50</f>
        <v>546.25</v>
      </c>
      <c r="D21" s="28">
        <f>Table!J6</f>
        <v>596.25</v>
      </c>
      <c r="E21" s="28">
        <f>D21+50</f>
        <v>646.25</v>
      </c>
      <c r="F21" s="29">
        <f>D21+100</f>
        <v>696.25</v>
      </c>
    </row>
    <row r="22" spans="1:8" ht="12.9" customHeight="1" x14ac:dyDescent="0.3">
      <c r="A22" s="30">
        <f>A24-100</f>
        <v>234.3932188</v>
      </c>
      <c r="B22" s="34">
        <f>B21-A22</f>
        <v>261.8567812</v>
      </c>
      <c r="C22" s="35">
        <f>C21-A22</f>
        <v>311.8567812</v>
      </c>
      <c r="D22" s="35">
        <f>D21-A22</f>
        <v>361.8567812</v>
      </c>
      <c r="E22" s="35">
        <f>E21-A22</f>
        <v>411.8567812</v>
      </c>
      <c r="F22" s="36">
        <f>F21-A22</f>
        <v>461.8567812</v>
      </c>
    </row>
    <row r="23" spans="1:8" ht="12.9" customHeight="1" x14ac:dyDescent="0.3">
      <c r="A23" s="31">
        <f>A24-50</f>
        <v>284.3932188</v>
      </c>
      <c r="B23" s="37">
        <f>B21-A23</f>
        <v>211.8567812</v>
      </c>
      <c r="C23" s="38">
        <f>C21-A23</f>
        <v>261.8567812</v>
      </c>
      <c r="D23" s="38">
        <f>D21-A23</f>
        <v>311.8567812</v>
      </c>
      <c r="E23" s="38">
        <f>E21-A23</f>
        <v>361.8567812</v>
      </c>
      <c r="F23" s="39">
        <f>F21-A23</f>
        <v>411.8567812</v>
      </c>
    </row>
    <row r="24" spans="1:8" ht="12.9" customHeight="1" x14ac:dyDescent="0.3">
      <c r="A24" s="32">
        <f>Table!J34</f>
        <v>334.3932188</v>
      </c>
      <c r="B24" s="40">
        <f>B21-A24</f>
        <v>161.8567812</v>
      </c>
      <c r="C24" s="41">
        <f>C21-A24</f>
        <v>211.8567812</v>
      </c>
      <c r="D24" s="41">
        <f>D21-A24</f>
        <v>261.8567812</v>
      </c>
      <c r="E24" s="41">
        <f>E21-A24</f>
        <v>311.8567812</v>
      </c>
      <c r="F24" s="42">
        <f>F21-A24</f>
        <v>361.8567812</v>
      </c>
    </row>
    <row r="25" spans="1:8" ht="12.9" customHeight="1" x14ac:dyDescent="0.3">
      <c r="A25" s="31">
        <f>A24+50</f>
        <v>384.3932188</v>
      </c>
      <c r="B25" s="37">
        <f>B21-A25</f>
        <v>111.8567812</v>
      </c>
      <c r="C25" s="38">
        <f>C21-A25</f>
        <v>161.8567812</v>
      </c>
      <c r="D25" s="38">
        <f>D21-A25</f>
        <v>211.8567812</v>
      </c>
      <c r="E25" s="38">
        <f>E21-A25</f>
        <v>261.8567812</v>
      </c>
      <c r="F25" s="39">
        <f>F21-A25</f>
        <v>311.8567812</v>
      </c>
    </row>
    <row r="26" spans="1:8" ht="12.9" customHeight="1" x14ac:dyDescent="0.3">
      <c r="A26" s="33">
        <f>A24+100</f>
        <v>434.3932188</v>
      </c>
      <c r="B26" s="192">
        <f>B21-A26</f>
        <v>61.8567812</v>
      </c>
      <c r="C26" s="44">
        <f>C21-A26</f>
        <v>111.8567812</v>
      </c>
      <c r="D26" s="44">
        <f>D21-A26</f>
        <v>161.8567812</v>
      </c>
      <c r="E26" s="44">
        <f>E21-A26</f>
        <v>211.8567812</v>
      </c>
      <c r="F26" s="45">
        <f>F21-A26</f>
        <v>261.8567812</v>
      </c>
    </row>
    <row r="27" spans="1:8" ht="12.9" customHeight="1" x14ac:dyDescent="0.3"/>
    <row r="28" spans="1:8" ht="12.9" customHeight="1" x14ac:dyDescent="0.3">
      <c r="A28" s="194" t="s">
        <v>77</v>
      </c>
    </row>
    <row r="29" spans="1:8" ht="12.9" customHeight="1" x14ac:dyDescent="0.3">
      <c r="A29" s="4" t="s">
        <v>23</v>
      </c>
      <c r="B29" s="209" t="s">
        <v>74</v>
      </c>
      <c r="C29" s="210"/>
      <c r="D29" s="210"/>
      <c r="E29" s="210"/>
      <c r="F29" s="211"/>
    </row>
    <row r="30" spans="1:8" ht="12.9" customHeight="1" x14ac:dyDescent="0.3">
      <c r="A30" s="5" t="s">
        <v>81</v>
      </c>
      <c r="B30" s="27">
        <f>D30-100</f>
        <v>496.25</v>
      </c>
      <c r="C30" s="28">
        <f>D30-50</f>
        <v>546.25</v>
      </c>
      <c r="D30" s="28">
        <f>Table!J6</f>
        <v>596.25</v>
      </c>
      <c r="E30" s="28">
        <f>D30+50</f>
        <v>646.25</v>
      </c>
      <c r="F30" s="29">
        <f>D30+100</f>
        <v>696.25</v>
      </c>
    </row>
    <row r="31" spans="1:8" ht="12.9" customHeight="1" x14ac:dyDescent="0.3">
      <c r="A31" s="30">
        <f>A33+100</f>
        <v>361.8567812</v>
      </c>
      <c r="B31" s="6">
        <f>A31/B30</f>
        <v>0.72918243062972288</v>
      </c>
      <c r="C31" s="7">
        <f>A31/C30</f>
        <v>0.66243804338672774</v>
      </c>
      <c r="D31" s="7">
        <f>A31/D30</f>
        <v>0.60688768335429766</v>
      </c>
      <c r="E31" s="7">
        <f>A31/E30</f>
        <v>0.55993312371373305</v>
      </c>
      <c r="F31" s="8">
        <f>A31/F30</f>
        <v>0.51972248646319574</v>
      </c>
      <c r="H31" t="s">
        <v>37</v>
      </c>
    </row>
    <row r="32" spans="1:8" ht="12.9" customHeight="1" x14ac:dyDescent="0.3">
      <c r="A32" s="31">
        <f>A33+50</f>
        <v>311.8567812</v>
      </c>
      <c r="B32" s="9">
        <f>A32/B30</f>
        <v>0.62842676312342571</v>
      </c>
      <c r="C32" s="10">
        <f>A32/C30</f>
        <v>0.57090486260869566</v>
      </c>
      <c r="D32" s="10">
        <f>A32/D30</f>
        <v>0.52303024100628925</v>
      </c>
      <c r="E32" s="10">
        <f>A32/E30</f>
        <v>0.48256368464216637</v>
      </c>
      <c r="F32" s="11">
        <f>A32/F30</f>
        <v>0.447909201005386</v>
      </c>
    </row>
    <row r="33" spans="1:6" ht="12.9" customHeight="1" x14ac:dyDescent="0.3">
      <c r="A33" s="32">
        <f>Table!J36</f>
        <v>261.8567812</v>
      </c>
      <c r="B33" s="12">
        <f>A33/B30</f>
        <v>0.52767109561712844</v>
      </c>
      <c r="C33" s="13">
        <f>A33/C30</f>
        <v>0.47937168183066364</v>
      </c>
      <c r="D33" s="13">
        <f>A33/D30</f>
        <v>0.43917279865828091</v>
      </c>
      <c r="E33" s="13">
        <f>A33/E30</f>
        <v>0.40519424557059963</v>
      </c>
      <c r="F33" s="14">
        <f>A33/F30</f>
        <v>0.37609591554757632</v>
      </c>
    </row>
    <row r="34" spans="1:6" ht="12.9" customHeight="1" x14ac:dyDescent="0.3">
      <c r="A34" s="31">
        <f>A33-50</f>
        <v>211.8567812</v>
      </c>
      <c r="B34" s="9">
        <f>A34/B30</f>
        <v>0.42691542811083122</v>
      </c>
      <c r="C34" s="10">
        <f>A34/C30</f>
        <v>0.38783850105263157</v>
      </c>
      <c r="D34" s="10">
        <f>A34/D30</f>
        <v>0.35531535631027256</v>
      </c>
      <c r="E34" s="10">
        <f>A34/E30</f>
        <v>0.32782480649903289</v>
      </c>
      <c r="F34" s="11">
        <f>A34/F30</f>
        <v>0.30428263008976658</v>
      </c>
    </row>
    <row r="35" spans="1:6" ht="12.9" customHeight="1" x14ac:dyDescent="0.3">
      <c r="A35" s="33">
        <f>A33-100</f>
        <v>161.8567812</v>
      </c>
      <c r="B35" s="15">
        <f>A35/B30</f>
        <v>0.326159760604534</v>
      </c>
      <c r="C35" s="16">
        <f>A35/C30</f>
        <v>0.29630532027459955</v>
      </c>
      <c r="D35" s="16">
        <f>A35/D30</f>
        <v>0.27145791396226415</v>
      </c>
      <c r="E35" s="16">
        <f>A35/E30</f>
        <v>0.25045536742746616</v>
      </c>
      <c r="F35" s="17">
        <f>A35/F30</f>
        <v>0.23246934463195693</v>
      </c>
    </row>
    <row r="36" spans="1:6" ht="12.9" customHeight="1" x14ac:dyDescent="0.3"/>
    <row r="37" spans="1:6" ht="12.9" customHeight="1" x14ac:dyDescent="0.3">
      <c r="A37" s="195" t="s">
        <v>84</v>
      </c>
    </row>
    <row r="38" spans="1:6" ht="12.9" customHeight="1" x14ac:dyDescent="0.3">
      <c r="A38" s="4" t="s">
        <v>22</v>
      </c>
      <c r="B38" s="209" t="s">
        <v>46</v>
      </c>
      <c r="C38" s="210"/>
      <c r="D38" s="210"/>
      <c r="E38" s="210"/>
      <c r="F38" s="211"/>
    </row>
    <row r="39" spans="1:6" ht="12.9" customHeight="1" x14ac:dyDescent="0.3">
      <c r="A39" s="5" t="s">
        <v>80</v>
      </c>
      <c r="B39" s="27">
        <f>D39-50</f>
        <v>336.8932188</v>
      </c>
      <c r="C39" s="28">
        <f>D39-25</f>
        <v>361.8932188</v>
      </c>
      <c r="D39" s="28">
        <f>Table!J43</f>
        <v>386.8932188</v>
      </c>
      <c r="E39" s="28">
        <f>D39+25</f>
        <v>411.8932188</v>
      </c>
      <c r="F39" s="29">
        <f>D39+50</f>
        <v>436.8932188</v>
      </c>
    </row>
    <row r="40" spans="1:6" ht="12.9" customHeight="1" x14ac:dyDescent="0.3">
      <c r="A40" s="148">
        <f>A42+0.04</f>
        <v>0.49</v>
      </c>
      <c r="B40" s="116">
        <f>B39/A40</f>
        <v>687.53718122448981</v>
      </c>
      <c r="C40" s="117">
        <f>C39/A40</f>
        <v>738.55758938775512</v>
      </c>
      <c r="D40" s="117">
        <f>D39/A40</f>
        <v>789.57799755102042</v>
      </c>
      <c r="E40" s="117">
        <f>E39/A40</f>
        <v>840.59840571428572</v>
      </c>
      <c r="F40" s="118">
        <f>F39/A40</f>
        <v>891.61881387755102</v>
      </c>
    </row>
    <row r="41" spans="1:6" ht="12.9" customHeight="1" x14ac:dyDescent="0.3">
      <c r="A41" s="149">
        <f>A42+0.02</f>
        <v>0.47000000000000003</v>
      </c>
      <c r="B41" s="119">
        <f>B39/A41</f>
        <v>716.7940825531914</v>
      </c>
      <c r="C41" s="120">
        <f>C39/A41</f>
        <v>769.98557191489351</v>
      </c>
      <c r="D41" s="120">
        <f>D39/A41</f>
        <v>823.17706127659574</v>
      </c>
      <c r="E41" s="120">
        <f>E39/A41</f>
        <v>876.36855063829785</v>
      </c>
      <c r="F41" s="121">
        <f>F39/A41</f>
        <v>929.56003999999996</v>
      </c>
    </row>
    <row r="42" spans="1:6" ht="12.9" customHeight="1" x14ac:dyDescent="0.3">
      <c r="A42" s="150">
        <f>Table!H5</f>
        <v>0.45</v>
      </c>
      <c r="B42" s="122">
        <f>B39/A42</f>
        <v>748.65159733333337</v>
      </c>
      <c r="C42" s="123">
        <f>C39/A42</f>
        <v>804.20715288888891</v>
      </c>
      <c r="D42" s="123">
        <f>D39/A42</f>
        <v>859.76270844444446</v>
      </c>
      <c r="E42" s="123">
        <f>E39/A42</f>
        <v>915.318264</v>
      </c>
      <c r="F42" s="184">
        <f>F39/A42</f>
        <v>970.87381955555554</v>
      </c>
    </row>
    <row r="43" spans="1:6" ht="12.9" customHeight="1" x14ac:dyDescent="0.3">
      <c r="A43" s="149">
        <f>A42-0.02</f>
        <v>0.43</v>
      </c>
      <c r="B43" s="119">
        <f>B39/A43</f>
        <v>783.47260186046515</v>
      </c>
      <c r="C43" s="120">
        <f>C39/A43</f>
        <v>841.61213674418605</v>
      </c>
      <c r="D43" s="120">
        <f>D39/A43</f>
        <v>899.75167162790694</v>
      </c>
      <c r="E43" s="120">
        <f>E39/A43</f>
        <v>957.89120651162796</v>
      </c>
      <c r="F43" s="121">
        <f>F39/A43</f>
        <v>1016.0307413953489</v>
      </c>
    </row>
    <row r="44" spans="1:6" ht="12.9" customHeight="1" x14ac:dyDescent="0.3">
      <c r="A44" s="151">
        <f>A42-0.04</f>
        <v>0.41000000000000003</v>
      </c>
      <c r="B44" s="185">
        <f>B39/A44</f>
        <v>821.69077756097556</v>
      </c>
      <c r="C44" s="186">
        <f>C39/A44</f>
        <v>882.66638731707314</v>
      </c>
      <c r="D44" s="186">
        <f>D39/A44</f>
        <v>943.64199707317061</v>
      </c>
      <c r="E44" s="186">
        <f>E39/A44</f>
        <v>1004.6176068292682</v>
      </c>
      <c r="F44" s="187">
        <f>F39/A44</f>
        <v>1065.5932165853658</v>
      </c>
    </row>
    <row r="45" spans="1:6" ht="12.9" customHeight="1" x14ac:dyDescent="0.3"/>
    <row r="46" spans="1:6" ht="12.9" customHeight="1" x14ac:dyDescent="0.3">
      <c r="A46" s="194" t="s">
        <v>82</v>
      </c>
      <c r="B46" s="3"/>
      <c r="C46" s="3"/>
      <c r="D46" s="3"/>
      <c r="E46" s="181"/>
    </row>
    <row r="47" spans="1:6" ht="12.9" customHeight="1" x14ac:dyDescent="0.3">
      <c r="A47" s="4" t="s">
        <v>21</v>
      </c>
      <c r="B47" s="209" t="s">
        <v>46</v>
      </c>
      <c r="C47" s="210"/>
      <c r="D47" s="210"/>
      <c r="E47" s="210"/>
      <c r="F47" s="211"/>
    </row>
    <row r="48" spans="1:6" ht="12.9" customHeight="1" x14ac:dyDescent="0.3">
      <c r="A48" s="5" t="s">
        <v>6</v>
      </c>
      <c r="B48" s="27">
        <f>B39</f>
        <v>336.8932188</v>
      </c>
      <c r="C48" s="28">
        <f>C39</f>
        <v>361.8932188</v>
      </c>
      <c r="D48" s="28">
        <f>D39</f>
        <v>386.8932188</v>
      </c>
      <c r="E48" s="28">
        <f>E39</f>
        <v>411.8932188</v>
      </c>
      <c r="F48" s="29">
        <f>F39</f>
        <v>436.8932188</v>
      </c>
    </row>
    <row r="49" spans="1:6" ht="12.9" customHeight="1" x14ac:dyDescent="0.3">
      <c r="A49" s="18">
        <f>A51+500</f>
        <v>1825</v>
      </c>
      <c r="B49" s="34">
        <f>B48/A49</f>
        <v>0.184599024</v>
      </c>
      <c r="C49" s="35">
        <f>C48/A49</f>
        <v>0.1982976541369863</v>
      </c>
      <c r="D49" s="35">
        <f>D48/A49</f>
        <v>0.2119962842739726</v>
      </c>
      <c r="E49" s="35">
        <f>E48/A49</f>
        <v>0.2256949144109589</v>
      </c>
      <c r="F49" s="36">
        <f>F48/A49</f>
        <v>0.2393935445479452</v>
      </c>
    </row>
    <row r="50" spans="1:6" ht="12.9" customHeight="1" x14ac:dyDescent="0.3">
      <c r="A50" s="19">
        <f>A51+250</f>
        <v>1575</v>
      </c>
      <c r="B50" s="37">
        <f>B48/A50</f>
        <v>0.21390045638095237</v>
      </c>
      <c r="C50" s="38">
        <f>C48/A50</f>
        <v>0.22977347225396824</v>
      </c>
      <c r="D50" s="38">
        <f>D48/A50</f>
        <v>0.24564648812698411</v>
      </c>
      <c r="E50" s="38">
        <f>E48/A50</f>
        <v>0.26151950400000001</v>
      </c>
      <c r="F50" s="39">
        <f>F48/A50</f>
        <v>0.27739251987301589</v>
      </c>
    </row>
    <row r="51" spans="1:6" ht="12.9" customHeight="1" x14ac:dyDescent="0.3">
      <c r="A51" s="20">
        <f>Table!F5</f>
        <v>1325</v>
      </c>
      <c r="B51" s="40">
        <f>B48/A51</f>
        <v>0.2542590330566038</v>
      </c>
      <c r="C51" s="41">
        <f>C48/A51</f>
        <v>0.27312695758490568</v>
      </c>
      <c r="D51" s="41">
        <f>D48/A51</f>
        <v>0.29199488211320757</v>
      </c>
      <c r="E51" s="41">
        <f>E48/A51</f>
        <v>0.31086280664150945</v>
      </c>
      <c r="F51" s="42">
        <f>F48/A51</f>
        <v>0.32973073116981133</v>
      </c>
    </row>
    <row r="52" spans="1:6" ht="12.9" customHeight="1" x14ac:dyDescent="0.3">
      <c r="A52" s="19">
        <f>A51-250</f>
        <v>1075</v>
      </c>
      <c r="B52" s="37">
        <f>B48/A52</f>
        <v>0.31338904074418605</v>
      </c>
      <c r="C52" s="38">
        <f>C48/A52</f>
        <v>0.33664485469767441</v>
      </c>
      <c r="D52" s="38">
        <f>D48/A52</f>
        <v>0.35990066865116277</v>
      </c>
      <c r="E52" s="38">
        <f>E48/A52</f>
        <v>0.38315648260465118</v>
      </c>
      <c r="F52" s="39">
        <f>F48/A52</f>
        <v>0.40641229655813954</v>
      </c>
    </row>
    <row r="53" spans="1:6" ht="12.9" customHeight="1" x14ac:dyDescent="0.3">
      <c r="A53" s="21">
        <f>A51-500</f>
        <v>825</v>
      </c>
      <c r="B53" s="43">
        <f>B48/A53</f>
        <v>0.40835541672727271</v>
      </c>
      <c r="C53" s="44">
        <f>C48/A53</f>
        <v>0.43865844703030304</v>
      </c>
      <c r="D53" s="44">
        <f>D48/A53</f>
        <v>0.46896147733333332</v>
      </c>
      <c r="E53" s="44">
        <f>E48/A53</f>
        <v>0.49926450763636365</v>
      </c>
      <c r="F53" s="45">
        <f>F48/A53</f>
        <v>0.52956753793939393</v>
      </c>
    </row>
    <row r="55" spans="1:6" ht="12.9" customHeight="1" x14ac:dyDescent="0.3">
      <c r="A55" s="124"/>
      <c r="B55" s="124"/>
      <c r="C55" s="124"/>
      <c r="D55" s="124"/>
      <c r="E55" s="124"/>
      <c r="F55" s="124"/>
    </row>
    <row r="56" spans="1:6" ht="12.9" customHeight="1" x14ac:dyDescent="0.3">
      <c r="A56" s="124"/>
      <c r="B56" s="124"/>
      <c r="C56" s="124"/>
      <c r="D56" s="124"/>
      <c r="E56" s="124"/>
      <c r="F56" s="124"/>
    </row>
    <row r="57" spans="1:6" ht="12.9" customHeight="1" x14ac:dyDescent="0.3">
      <c r="A57" s="124"/>
      <c r="B57" s="124"/>
      <c r="C57" s="124"/>
      <c r="D57" s="124"/>
      <c r="E57" s="124"/>
      <c r="F57" s="124"/>
    </row>
    <row r="58" spans="1:6" ht="12.9" customHeight="1" x14ac:dyDescent="0.3">
      <c r="A58" s="124"/>
      <c r="B58" s="124"/>
      <c r="C58" s="124"/>
      <c r="D58" s="124"/>
      <c r="E58" s="124"/>
      <c r="F58" s="124"/>
    </row>
    <row r="59" spans="1:6" ht="12.9" customHeight="1" x14ac:dyDescent="0.3">
      <c r="A59" s="124"/>
      <c r="B59" s="124"/>
      <c r="C59" s="124"/>
      <c r="D59" s="124"/>
      <c r="E59" s="124"/>
      <c r="F59" s="124"/>
    </row>
    <row r="60" spans="1:6" ht="12.9" customHeight="1" x14ac:dyDescent="0.3">
      <c r="A60" s="124"/>
      <c r="B60" s="124"/>
      <c r="C60" s="124"/>
      <c r="D60" s="124"/>
      <c r="E60" s="124"/>
      <c r="F60" s="124"/>
    </row>
    <row r="61" spans="1:6" ht="12.9" customHeight="1" x14ac:dyDescent="0.3">
      <c r="A61" s="124"/>
      <c r="B61" s="124"/>
      <c r="C61" s="124"/>
      <c r="D61" s="124"/>
      <c r="E61" s="124"/>
      <c r="F61" s="124"/>
    </row>
    <row r="62" spans="1:6" ht="12.9" customHeight="1" x14ac:dyDescent="0.3">
      <c r="A62" s="124"/>
      <c r="B62" s="124"/>
      <c r="C62" s="124"/>
      <c r="D62" s="124"/>
      <c r="E62" s="124"/>
      <c r="F62" s="124"/>
    </row>
    <row r="63" spans="1:6" ht="12.9" customHeight="1" x14ac:dyDescent="0.3">
      <c r="A63" s="124"/>
      <c r="B63" s="124"/>
      <c r="C63" s="124"/>
      <c r="D63" s="124"/>
      <c r="E63" s="124"/>
      <c r="F63" s="124"/>
    </row>
    <row r="64" spans="1:6" ht="12.9" customHeight="1" x14ac:dyDescent="0.3">
      <c r="A64" s="124"/>
      <c r="B64" s="124"/>
      <c r="C64" s="124"/>
      <c r="D64" s="124"/>
      <c r="E64" s="124"/>
      <c r="F64" s="124"/>
    </row>
    <row r="65" spans="1:6" ht="12.9" customHeight="1" x14ac:dyDescent="0.3">
      <c r="A65" s="124"/>
      <c r="B65" s="124"/>
      <c r="C65" s="124"/>
      <c r="D65" s="124"/>
      <c r="E65" s="124"/>
      <c r="F65" s="124"/>
    </row>
    <row r="66" spans="1:6" ht="12.9" customHeight="1" x14ac:dyDescent="0.3">
      <c r="A66" s="124"/>
      <c r="B66" s="124"/>
      <c r="C66" s="124"/>
      <c r="D66" s="124"/>
      <c r="E66" s="124"/>
      <c r="F66" s="124"/>
    </row>
    <row r="67" spans="1:6" ht="12.9" customHeight="1" x14ac:dyDescent="0.3">
      <c r="A67" s="124"/>
      <c r="B67" s="124"/>
      <c r="C67" s="124"/>
      <c r="D67" s="124"/>
      <c r="E67" s="124"/>
      <c r="F67" s="124"/>
    </row>
    <row r="68" spans="1:6" ht="12.9" customHeight="1" x14ac:dyDescent="0.3">
      <c r="A68" s="124"/>
      <c r="B68" s="124"/>
      <c r="C68" s="124"/>
      <c r="D68" s="124"/>
      <c r="E68" s="124"/>
      <c r="F68" s="124"/>
    </row>
    <row r="69" spans="1:6" x14ac:dyDescent="0.3">
      <c r="A69" s="124"/>
      <c r="B69" s="124"/>
      <c r="C69" s="124"/>
      <c r="D69" s="124"/>
      <c r="E69" s="124"/>
      <c r="F69" s="124"/>
    </row>
    <row r="70" spans="1:6" x14ac:dyDescent="0.3">
      <c r="A70" s="124"/>
      <c r="B70" s="124"/>
      <c r="C70" s="124"/>
      <c r="D70" s="124"/>
      <c r="E70" s="124"/>
      <c r="F70" s="124"/>
    </row>
    <row r="71" spans="1:6" x14ac:dyDescent="0.3">
      <c r="A71" s="124"/>
      <c r="B71" s="124"/>
      <c r="C71" s="124"/>
      <c r="D71" s="124"/>
      <c r="E71" s="124"/>
      <c r="F71" s="124"/>
    </row>
    <row r="72" spans="1:6" x14ac:dyDescent="0.3">
      <c r="A72" s="124"/>
      <c r="B72" s="124"/>
      <c r="C72" s="124"/>
      <c r="D72" s="124"/>
      <c r="E72" s="124"/>
      <c r="F72" s="124"/>
    </row>
    <row r="73" spans="1:6" x14ac:dyDescent="0.3">
      <c r="A73" s="124"/>
      <c r="B73" s="124"/>
      <c r="C73" s="124"/>
      <c r="D73" s="124"/>
      <c r="E73" s="124"/>
      <c r="F73" s="124"/>
    </row>
    <row r="74" spans="1:6" x14ac:dyDescent="0.3">
      <c r="A74" s="124"/>
      <c r="B74" s="124"/>
      <c r="C74" s="124"/>
      <c r="D74" s="124"/>
      <c r="E74" s="124"/>
      <c r="F74" s="124"/>
    </row>
    <row r="75" spans="1:6" x14ac:dyDescent="0.3">
      <c r="A75" s="124"/>
      <c r="B75" s="124"/>
      <c r="C75" s="124"/>
      <c r="D75" s="124"/>
      <c r="E75" s="124"/>
      <c r="F75" s="124"/>
    </row>
    <row r="76" spans="1:6" x14ac:dyDescent="0.3">
      <c r="A76" s="124"/>
      <c r="B76" s="124"/>
      <c r="C76" s="124"/>
      <c r="D76" s="124"/>
      <c r="E76" s="124"/>
      <c r="F76" s="124"/>
    </row>
    <row r="77" spans="1:6" x14ac:dyDescent="0.3">
      <c r="A77" s="124"/>
      <c r="B77" s="124"/>
      <c r="C77" s="124"/>
      <c r="D77" s="124"/>
      <c r="E77" s="124"/>
      <c r="F77" s="124"/>
    </row>
    <row r="78" spans="1:6" x14ac:dyDescent="0.3">
      <c r="A78" s="124"/>
      <c r="B78" s="124"/>
      <c r="C78" s="124"/>
      <c r="D78" s="124"/>
      <c r="E78" s="124"/>
      <c r="F78" s="124"/>
    </row>
  </sheetData>
  <mergeCells count="6">
    <mergeCell ref="B47:F47"/>
    <mergeCell ref="B2:F2"/>
    <mergeCell ref="B11:F11"/>
    <mergeCell ref="B20:F20"/>
    <mergeCell ref="B29:F29"/>
    <mergeCell ref="B38:F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zoomScale="130" zoomScaleNormal="130" workbookViewId="0">
      <selection activeCell="B33" sqref="B33"/>
    </sheetView>
  </sheetViews>
  <sheetFormatPr defaultRowHeight="14.4" x14ac:dyDescent="0.3"/>
  <cols>
    <col min="1" max="1" width="9.6640625" customWidth="1"/>
  </cols>
  <sheetData>
    <row r="1" spans="1:2" x14ac:dyDescent="0.3">
      <c r="A1" t="s">
        <v>24</v>
      </c>
    </row>
    <row r="4" spans="1:2" x14ac:dyDescent="0.3">
      <c r="A4" s="125" t="s">
        <v>45</v>
      </c>
      <c r="B4" s="126"/>
    </row>
    <row r="5" spans="1:2" x14ac:dyDescent="0.3">
      <c r="A5" s="125" t="s">
        <v>0</v>
      </c>
      <c r="B5" s="130">
        <f>Table!J6</f>
        <v>596.25</v>
      </c>
    </row>
    <row r="6" spans="1:2" x14ac:dyDescent="0.3">
      <c r="A6" s="127" t="s">
        <v>46</v>
      </c>
      <c r="B6" s="128">
        <f>Table!J43</f>
        <v>386.8932188</v>
      </c>
    </row>
    <row r="7" spans="1:2" x14ac:dyDescent="0.3">
      <c r="A7" s="129" t="s">
        <v>31</v>
      </c>
      <c r="B7" s="130">
        <f>Table!J44</f>
        <v>209.3567812</v>
      </c>
    </row>
    <row r="9" spans="1:2" x14ac:dyDescent="0.3">
      <c r="A9" t="s">
        <v>0</v>
      </c>
      <c r="B9" s="131">
        <f>Table!J6</f>
        <v>596.25</v>
      </c>
    </row>
    <row r="10" spans="1:2" x14ac:dyDescent="0.3">
      <c r="A10" t="s">
        <v>46</v>
      </c>
      <c r="B10" s="131">
        <f>Table!J43</f>
        <v>386.8932188</v>
      </c>
    </row>
    <row r="11" spans="1:2" x14ac:dyDescent="0.3">
      <c r="A11" t="s">
        <v>31</v>
      </c>
      <c r="B11" s="131">
        <f>Table!J44</f>
        <v>209.3567812</v>
      </c>
    </row>
    <row r="12" spans="1:2" x14ac:dyDescent="0.3">
      <c r="A12" s="99" t="e">
        <f>A10-A11</f>
        <v>#VALUE!</v>
      </c>
    </row>
    <row r="20" spans="1:4" x14ac:dyDescent="0.3">
      <c r="D20" s="134"/>
    </row>
    <row r="21" spans="1:4" x14ac:dyDescent="0.3">
      <c r="A21" s="100">
        <f>(D21/D26)</f>
        <v>0.35842725240847784</v>
      </c>
      <c r="B21" t="s">
        <v>49</v>
      </c>
      <c r="D21" s="132">
        <f>Table!J22</f>
        <v>232.52967999999998</v>
      </c>
    </row>
    <row r="22" spans="1:4" x14ac:dyDescent="0.3">
      <c r="A22" s="100">
        <f>D22/D26</f>
        <v>0.1425818882466281</v>
      </c>
      <c r="B22" t="s">
        <v>47</v>
      </c>
      <c r="D22" s="132">
        <f>Table!J30</f>
        <v>92.499999999999986</v>
      </c>
    </row>
    <row r="23" spans="1:4" x14ac:dyDescent="0.3">
      <c r="A23" s="100">
        <f>D23/D26</f>
        <v>0.40363280339113683</v>
      </c>
      <c r="B23" t="s">
        <v>48</v>
      </c>
      <c r="D23" s="132">
        <f>Table!J36</f>
        <v>261.8567812</v>
      </c>
    </row>
    <row r="24" spans="1:4" x14ac:dyDescent="0.3">
      <c r="A24" s="100">
        <f>D24/D26</f>
        <v>8.0924855491329481E-2</v>
      </c>
      <c r="B24" t="s">
        <v>4</v>
      </c>
      <c r="D24" s="132">
        <f>Table!J42</f>
        <v>52.5</v>
      </c>
    </row>
    <row r="25" spans="1:4" x14ac:dyDescent="0.3">
      <c r="A25" s="100">
        <f>D25/D26</f>
        <v>1.4433200462427747E-2</v>
      </c>
      <c r="B25" t="s">
        <v>25</v>
      </c>
      <c r="D25" s="132">
        <f>Table!J32</f>
        <v>9.3635388000000006</v>
      </c>
    </row>
    <row r="26" spans="1:4" x14ac:dyDescent="0.3">
      <c r="A26" s="99"/>
      <c r="D26" s="133">
        <f>SUM(D21:D25)</f>
        <v>648.75</v>
      </c>
    </row>
    <row r="28" spans="1:4" x14ac:dyDescent="0.3">
      <c r="A28" s="99">
        <f>Table!I10</f>
        <v>56.771000000000008</v>
      </c>
      <c r="B28" t="s">
        <v>1</v>
      </c>
      <c r="D28" s="100">
        <f>A28/A34</f>
        <v>0.39217596142554179</v>
      </c>
    </row>
    <row r="29" spans="1:4" x14ac:dyDescent="0.3">
      <c r="A29" s="99">
        <f>Table!I14</f>
        <v>7.968</v>
      </c>
      <c r="B29" t="s">
        <v>26</v>
      </c>
      <c r="D29" s="100">
        <f>A29/A34</f>
        <v>5.5043209748616657E-2</v>
      </c>
    </row>
    <row r="30" spans="1:4" x14ac:dyDescent="0.3">
      <c r="A30" s="99">
        <f>Table!I19</f>
        <v>22.5</v>
      </c>
      <c r="B30" t="s">
        <v>3</v>
      </c>
      <c r="D30" s="100">
        <f>A30/A34</f>
        <v>0.15543075041966301</v>
      </c>
    </row>
    <row r="31" spans="1:4" x14ac:dyDescent="0.3">
      <c r="A31" s="99">
        <v>9</v>
      </c>
      <c r="B31" t="s">
        <v>50</v>
      </c>
      <c r="D31" s="100">
        <f>A31/A34</f>
        <v>6.2172300167865208E-2</v>
      </c>
    </row>
    <row r="32" spans="1:4" x14ac:dyDescent="0.3">
      <c r="A32" s="99">
        <f>Table!I21</f>
        <v>1.63</v>
      </c>
      <c r="B32" t="s">
        <v>51</v>
      </c>
      <c r="D32" s="100">
        <f>A32/A34</f>
        <v>1.1260094363735587E-2</v>
      </c>
    </row>
    <row r="33" spans="1:4" x14ac:dyDescent="0.3">
      <c r="A33" s="99">
        <f>Table!I20</f>
        <v>46.89</v>
      </c>
      <c r="B33" t="s">
        <v>52</v>
      </c>
      <c r="D33" s="100">
        <f>A33/A34</f>
        <v>0.3239176838745777</v>
      </c>
    </row>
    <row r="34" spans="1:4" x14ac:dyDescent="0.3">
      <c r="A34" s="99">
        <f>SUM(A28:A33)</f>
        <v>144.75900000000001</v>
      </c>
      <c r="D34" s="182">
        <f>SUM(D28:D33)</f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Tables 2-7</vt:lpstr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Andrea Snarr</cp:lastModifiedBy>
  <cp:lastPrinted>2022-12-19T22:43:41Z</cp:lastPrinted>
  <dcterms:created xsi:type="dcterms:W3CDTF">2019-02-21T20:31:27Z</dcterms:created>
  <dcterms:modified xsi:type="dcterms:W3CDTF">2023-02-23T17:35:26Z</dcterms:modified>
</cp:coreProperties>
</file>