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C:\Users\Ruby Ward\Desktop\Meat Processing\tool model\"/>
    </mc:Choice>
  </mc:AlternateContent>
  <xr:revisionPtr revIDLastSave="0" documentId="13_ncr:1_{FA358D4E-0F23-462A-AC04-6527331D8963}" xr6:coauthVersionLast="36" xr6:coauthVersionMax="45" xr10:uidLastSave="{00000000-0000-0000-0000-000000000000}"/>
  <bookViews>
    <workbookView xWindow="0" yWindow="0" windowWidth="19200" windowHeight="7670" xr2:uid="{00000000-000D-0000-FFFF-FFFF00000000}"/>
  </bookViews>
  <sheets>
    <sheet name="Readme" sheetId="14" r:id="rId1"/>
    <sheet name="Budget" sheetId="4" r:id="rId2"/>
    <sheet name="Initial Costs" sheetId="3" r:id="rId3"/>
    <sheet name="Small Tools" sheetId="13" r:id="rId4"/>
    <sheet name="profit sensitivity" sheetId="6" r:id="rId5"/>
    <sheet name="30 year" sheetId="9" r:id="rId6"/>
    <sheet name="20 year" sheetId="11" r:id="rId7"/>
    <sheet name="10 year" sheetId="12"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3" l="1"/>
  <c r="E33" i="13"/>
  <c r="G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 i="13"/>
  <c r="H21" i="3"/>
  <c r="H22" i="3"/>
  <c r="H23" i="3"/>
  <c r="H24" i="3"/>
  <c r="H25" i="3"/>
  <c r="H26" i="3"/>
  <c r="H27" i="3"/>
  <c r="H28" i="3"/>
  <c r="H29" i="3"/>
  <c r="H30" i="3"/>
  <c r="H31" i="3"/>
  <c r="H32" i="3"/>
  <c r="H33" i="3"/>
  <c r="H7" i="3"/>
  <c r="H8" i="3"/>
  <c r="H9" i="3"/>
  <c r="H10" i="3"/>
  <c r="H11" i="3"/>
  <c r="H12" i="3"/>
  <c r="H13" i="3"/>
  <c r="H14" i="3"/>
  <c r="H15" i="3"/>
  <c r="H16" i="3"/>
  <c r="H17" i="3"/>
  <c r="H18" i="3"/>
  <c r="H19" i="3"/>
  <c r="H6" i="3"/>
  <c r="F29" i="3"/>
  <c r="F30" i="3"/>
  <c r="F31" i="3"/>
  <c r="F32" i="3"/>
  <c r="F33" i="3"/>
  <c r="F16" i="3"/>
  <c r="F17" i="3"/>
  <c r="F18" i="3"/>
  <c r="F19" i="3"/>
  <c r="F28" i="3"/>
  <c r="E26" i="13"/>
  <c r="E27" i="13"/>
  <c r="E28" i="13"/>
  <c r="E29" i="13"/>
  <c r="E30" i="13"/>
  <c r="E31" i="13"/>
  <c r="E32" i="13"/>
  <c r="A22" i="6"/>
  <c r="A23" i="6"/>
  <c r="A21" i="6"/>
  <c r="A17" i="6"/>
  <c r="A18" i="6"/>
  <c r="A16" i="6"/>
  <c r="A13" i="6"/>
  <c r="A12" i="6"/>
  <c r="A11" i="6"/>
  <c r="I4" i="6"/>
  <c r="G4" i="6"/>
  <c r="E4" i="6"/>
  <c r="I20" i="6" l="1"/>
  <c r="I15" i="6"/>
  <c r="I10" i="6"/>
  <c r="E26" i="3" l="1"/>
  <c r="E13" i="13" l="1"/>
  <c r="E12" i="13"/>
  <c r="E25" i="13" l="1"/>
  <c r="E24" i="13"/>
  <c r="E23" i="13"/>
  <c r="E22" i="13"/>
  <c r="E21" i="13"/>
  <c r="E20" i="13"/>
  <c r="E19" i="13"/>
  <c r="E18" i="13"/>
  <c r="E17" i="13"/>
  <c r="E16" i="13"/>
  <c r="E15" i="13"/>
  <c r="E14" i="13"/>
  <c r="E11" i="13"/>
  <c r="E10" i="13"/>
  <c r="E9" i="13"/>
  <c r="E8" i="13"/>
  <c r="E7" i="13"/>
  <c r="E6" i="13"/>
  <c r="E5" i="13"/>
  <c r="E4" i="13"/>
  <c r="E3" i="13"/>
  <c r="F15" i="3" l="1"/>
  <c r="F14" i="3"/>
  <c r="F13" i="3"/>
  <c r="F12" i="3"/>
  <c r="F11" i="3"/>
  <c r="F10" i="3"/>
  <c r="F9" i="3"/>
  <c r="F8" i="3"/>
  <c r="D7" i="3"/>
  <c r="F7" i="3" s="1"/>
  <c r="D6" i="3"/>
  <c r="F6" i="3" s="1"/>
  <c r="H59" i="4"/>
  <c r="H58" i="4"/>
  <c r="H57" i="4"/>
  <c r="H56" i="4"/>
  <c r="H55" i="4"/>
  <c r="H54" i="4"/>
  <c r="H53" i="4"/>
  <c r="H52" i="4"/>
  <c r="H51" i="4"/>
  <c r="H50" i="4"/>
  <c r="G8" i="11" l="1"/>
  <c r="G8" i="12"/>
  <c r="G8" i="9"/>
  <c r="G9" i="4"/>
  <c r="D22" i="12" l="1"/>
  <c r="M20" i="12"/>
  <c r="L20" i="12"/>
  <c r="K20" i="12"/>
  <c r="J20" i="12"/>
  <c r="I20" i="12"/>
  <c r="H20" i="12"/>
  <c r="G20" i="12"/>
  <c r="F20" i="12"/>
  <c r="E20" i="12"/>
  <c r="D20" i="12"/>
  <c r="C16" i="12"/>
  <c r="W33" i="11"/>
  <c r="W32" i="11"/>
  <c r="D22" i="11"/>
  <c r="E22" i="11" s="1"/>
  <c r="W20" i="11"/>
  <c r="V20" i="11"/>
  <c r="U20" i="11"/>
  <c r="T20" i="11"/>
  <c r="S20" i="11"/>
  <c r="R20" i="11"/>
  <c r="Q20" i="11"/>
  <c r="P20" i="11"/>
  <c r="O20" i="11"/>
  <c r="N20" i="11"/>
  <c r="M20" i="11"/>
  <c r="L20" i="11"/>
  <c r="K20" i="11"/>
  <c r="J20" i="11"/>
  <c r="I20" i="11"/>
  <c r="H20" i="11"/>
  <c r="G20" i="11"/>
  <c r="F20" i="11"/>
  <c r="E20" i="11"/>
  <c r="D20" i="11"/>
  <c r="C16" i="11"/>
  <c r="C8" i="11"/>
  <c r="W34" i="11" s="1"/>
  <c r="E22" i="9"/>
  <c r="D22"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16" i="9"/>
  <c r="C8" i="9"/>
  <c r="AG34" i="9" s="1"/>
  <c r="E22" i="12" l="1"/>
  <c r="F22" i="11"/>
  <c r="F22" i="9"/>
  <c r="E8" i="4"/>
  <c r="F22" i="12" l="1"/>
  <c r="G22" i="11"/>
  <c r="G22" i="9"/>
  <c r="E74" i="4"/>
  <c r="G22" i="12" l="1"/>
  <c r="H22" i="11"/>
  <c r="H22" i="9"/>
  <c r="H22" i="12" l="1"/>
  <c r="I22" i="11"/>
  <c r="I22" i="9"/>
  <c r="Q3" i="4"/>
  <c r="H5" i="11" l="1"/>
  <c r="H5" i="12"/>
  <c r="H5" i="9"/>
  <c r="I22" i="12"/>
  <c r="J22" i="11"/>
  <c r="J22" i="9"/>
  <c r="H4" i="6"/>
  <c r="H7" i="6" s="1"/>
  <c r="G7" i="6"/>
  <c r="F4" i="6"/>
  <c r="F7" i="6" s="1"/>
  <c r="E7" i="6"/>
  <c r="D4" i="6"/>
  <c r="D7" i="6" s="1"/>
  <c r="C6" i="6"/>
  <c r="C7" i="6"/>
  <c r="C8" i="6"/>
  <c r="B7" i="6"/>
  <c r="B8" i="6"/>
  <c r="B6" i="6"/>
  <c r="H18" i="4"/>
  <c r="F14" i="4"/>
  <c r="E14" i="4"/>
  <c r="E9" i="4"/>
  <c r="H9" i="4" s="1"/>
  <c r="H8" i="4"/>
  <c r="O3" i="4" s="1"/>
  <c r="G5" i="9" l="1"/>
  <c r="D24" i="9" s="1"/>
  <c r="G5" i="11"/>
  <c r="G5" i="12"/>
  <c r="J22" i="12"/>
  <c r="K22" i="11"/>
  <c r="K22" i="9"/>
  <c r="P3" i="4"/>
  <c r="F6" i="6"/>
  <c r="H8" i="6"/>
  <c r="F8" i="6"/>
  <c r="G8" i="6"/>
  <c r="I6" i="6"/>
  <c r="I7" i="6"/>
  <c r="H6" i="6"/>
  <c r="G6" i="6"/>
  <c r="I8" i="6"/>
  <c r="E6" i="6"/>
  <c r="E8" i="6"/>
  <c r="D8" i="6"/>
  <c r="D6" i="6"/>
  <c r="H14" i="4"/>
  <c r="H10" i="4"/>
  <c r="E15" i="4"/>
  <c r="H15" i="4" l="1"/>
  <c r="I15" i="4" s="1"/>
  <c r="E33" i="4"/>
  <c r="H33" i="4" s="1"/>
  <c r="I33" i="4" s="1"/>
  <c r="I53" i="4"/>
  <c r="I51" i="4"/>
  <c r="I54" i="4"/>
  <c r="I59" i="4"/>
  <c r="I52" i="4"/>
  <c r="I57" i="4"/>
  <c r="I55" i="4"/>
  <c r="I58" i="4"/>
  <c r="I50" i="4"/>
  <c r="I56" i="4"/>
  <c r="M24" i="12"/>
  <c r="F24" i="12"/>
  <c r="F26" i="12" s="1"/>
  <c r="D24" i="12"/>
  <c r="D26" i="12" s="1"/>
  <c r="E24" i="12"/>
  <c r="E26" i="12" s="1"/>
  <c r="G24" i="12"/>
  <c r="G26" i="12" s="1"/>
  <c r="H24" i="12"/>
  <c r="H26" i="12" s="1"/>
  <c r="I24" i="12"/>
  <c r="I26" i="12" s="1"/>
  <c r="L24" i="11"/>
  <c r="T24" i="11"/>
  <c r="M24" i="11"/>
  <c r="F24" i="11"/>
  <c r="F26" i="11" s="1"/>
  <c r="N24" i="11"/>
  <c r="V24" i="11"/>
  <c r="G24" i="11"/>
  <c r="G26" i="11" s="1"/>
  <c r="O24" i="11"/>
  <c r="W24" i="11"/>
  <c r="Q24" i="11"/>
  <c r="H24" i="11"/>
  <c r="H26" i="11" s="1"/>
  <c r="P24" i="11"/>
  <c r="E24" i="11"/>
  <c r="E26" i="11" s="1"/>
  <c r="I24" i="11"/>
  <c r="I26" i="11" s="1"/>
  <c r="J24" i="11"/>
  <c r="J26" i="11" s="1"/>
  <c r="R24" i="11"/>
  <c r="K24" i="11"/>
  <c r="K26" i="11" s="1"/>
  <c r="S24" i="11"/>
  <c r="D24" i="11"/>
  <c r="D26" i="11" s="1"/>
  <c r="U24" i="11"/>
  <c r="M24" i="9"/>
  <c r="U24" i="9"/>
  <c r="AC24" i="9"/>
  <c r="F24" i="9"/>
  <c r="F26" i="9" s="1"/>
  <c r="AD24" i="9"/>
  <c r="N24" i="9"/>
  <c r="G24" i="9"/>
  <c r="G26" i="9" s="1"/>
  <c r="O24" i="9"/>
  <c r="W24" i="9"/>
  <c r="AE24" i="9"/>
  <c r="H24" i="9"/>
  <c r="H26" i="9" s="1"/>
  <c r="P24" i="9"/>
  <c r="X24" i="9"/>
  <c r="AF24" i="9"/>
  <c r="R24" i="9"/>
  <c r="E24" i="9"/>
  <c r="E26" i="9" s="1"/>
  <c r="I24" i="9"/>
  <c r="I26" i="9" s="1"/>
  <c r="Q24" i="9"/>
  <c r="Y24" i="9"/>
  <c r="AG24" i="9"/>
  <c r="Z24" i="9"/>
  <c r="J24" i="9"/>
  <c r="J26" i="9" s="1"/>
  <c r="K24" i="9"/>
  <c r="K26" i="9" s="1"/>
  <c r="S24" i="9"/>
  <c r="AA24" i="9"/>
  <c r="L24" i="9"/>
  <c r="T24" i="9"/>
  <c r="AB24" i="9"/>
  <c r="V24" i="9"/>
  <c r="D26" i="9"/>
  <c r="J24" i="12"/>
  <c r="J26" i="12" s="1"/>
  <c r="K24" i="12"/>
  <c r="K26" i="12" s="1"/>
  <c r="K22" i="12"/>
  <c r="L22" i="11"/>
  <c r="L22" i="9"/>
  <c r="I70" i="4"/>
  <c r="I69" i="4"/>
  <c r="I68" i="4"/>
  <c r="I9" i="4"/>
  <c r="M5" i="4"/>
  <c r="M3" i="4"/>
  <c r="I8" i="4"/>
  <c r="I10" i="4"/>
  <c r="I18" i="4"/>
  <c r="I14" i="4"/>
  <c r="M6" i="4" l="1"/>
  <c r="L22" i="12"/>
  <c r="L24" i="12"/>
  <c r="L26" i="12" s="1"/>
  <c r="M22" i="11"/>
  <c r="L26" i="11"/>
  <c r="M22" i="9"/>
  <c r="L26" i="9"/>
  <c r="N3" i="4"/>
  <c r="N6" i="4"/>
  <c r="N5" i="4"/>
  <c r="O6" i="4"/>
  <c r="O5" i="4"/>
  <c r="F27" i="3"/>
  <c r="C39" i="3" s="1"/>
  <c r="F26" i="3"/>
  <c r="F11" i="12" l="1"/>
  <c r="F12" i="11"/>
  <c r="F12" i="9"/>
  <c r="N22" i="11"/>
  <c r="M26" i="11"/>
  <c r="N22" i="9"/>
  <c r="M26" i="9"/>
  <c r="P6" i="4"/>
  <c r="P5" i="4"/>
  <c r="H23" i="4"/>
  <c r="I23" i="4" s="1"/>
  <c r="H36" i="4"/>
  <c r="I36" i="4" s="1"/>
  <c r="H35" i="4"/>
  <c r="I35" i="4" s="1"/>
  <c r="H45" i="4"/>
  <c r="I45" i="4" s="1"/>
  <c r="H32" i="4"/>
  <c r="I32" i="4" s="1"/>
  <c r="H47" i="4"/>
  <c r="I47" i="4" s="1"/>
  <c r="H26" i="4"/>
  <c r="I26" i="4" s="1"/>
  <c r="H25" i="4"/>
  <c r="I25" i="4" s="1"/>
  <c r="H24" i="4"/>
  <c r="I24" i="4" s="1"/>
  <c r="H27" i="4"/>
  <c r="I27" i="4" s="1"/>
  <c r="H41" i="4"/>
  <c r="I41" i="4" s="1"/>
  <c r="H39" i="4"/>
  <c r="I39" i="4" s="1"/>
  <c r="H40" i="4"/>
  <c r="I40" i="4" s="1"/>
  <c r="H46" i="4"/>
  <c r="I46" i="4" s="1"/>
  <c r="H42" i="4"/>
  <c r="I42" i="4" s="1"/>
  <c r="H37" i="4"/>
  <c r="I37" i="4" s="1"/>
  <c r="H38" i="4"/>
  <c r="I38" i="4" s="1"/>
  <c r="H48" i="4"/>
  <c r="I48" i="4" s="1"/>
  <c r="H44" i="4"/>
  <c r="I44" i="4" s="1"/>
  <c r="H31" i="4"/>
  <c r="I31" i="4" s="1"/>
  <c r="H30" i="4"/>
  <c r="I30" i="4" s="1"/>
  <c r="H29" i="4"/>
  <c r="I29" i="4" s="1"/>
  <c r="H22" i="4"/>
  <c r="E17" i="4"/>
  <c r="H17" i="4" s="1"/>
  <c r="I17" i="4" s="1"/>
  <c r="O22" i="11" l="1"/>
  <c r="N26" i="11"/>
  <c r="O22" i="9"/>
  <c r="N26" i="9"/>
  <c r="I22" i="4"/>
  <c r="H19" i="4"/>
  <c r="F21" i="3"/>
  <c r="C41" i="3" s="1"/>
  <c r="F22" i="3"/>
  <c r="F23" i="3"/>
  <c r="F24" i="3"/>
  <c r="F25" i="3"/>
  <c r="F13" i="12" l="1"/>
  <c r="F14" i="11"/>
  <c r="C7" i="11" s="1"/>
  <c r="W25" i="11" s="1"/>
  <c r="F14" i="9"/>
  <c r="C7" i="9" s="1"/>
  <c r="AG25" i="9" s="1"/>
  <c r="D37" i="3"/>
  <c r="D36" i="3"/>
  <c r="F34" i="3"/>
  <c r="C40" i="3" s="1"/>
  <c r="C7" i="12"/>
  <c r="M25" i="12" s="1"/>
  <c r="P22" i="11"/>
  <c r="O26" i="11"/>
  <c r="P22" i="9"/>
  <c r="O26" i="9"/>
  <c r="M7" i="4"/>
  <c r="I19" i="4"/>
  <c r="G10" i="11" l="1"/>
  <c r="M34" i="11" s="1"/>
  <c r="K12" i="9"/>
  <c r="K13" i="9" s="1"/>
  <c r="W34" i="9" s="1"/>
  <c r="F13" i="11"/>
  <c r="F12" i="12"/>
  <c r="F13" i="9"/>
  <c r="H34" i="3"/>
  <c r="H71" i="4" s="1"/>
  <c r="I71" i="4" s="1"/>
  <c r="Q22" i="11"/>
  <c r="P26" i="11"/>
  <c r="Q22" i="9"/>
  <c r="P26" i="9"/>
  <c r="F67" i="4"/>
  <c r="H67" i="4" s="1"/>
  <c r="I67" i="4" s="1"/>
  <c r="F66" i="4"/>
  <c r="H66" i="4" s="1"/>
  <c r="I66" i="4" s="1"/>
  <c r="O7" i="4"/>
  <c r="N7" i="4"/>
  <c r="Q7" i="4"/>
  <c r="M34" i="9" l="1"/>
  <c r="G31" i="9"/>
  <c r="N31" i="9"/>
  <c r="AG31" i="9"/>
  <c r="M31" i="9"/>
  <c r="Q31" i="9"/>
  <c r="AB31" i="9"/>
  <c r="C6" i="9"/>
  <c r="Q32" i="9" s="1"/>
  <c r="U31" i="9"/>
  <c r="V31" i="9"/>
  <c r="F31" i="9"/>
  <c r="O31" i="9"/>
  <c r="K31" i="9"/>
  <c r="H31" i="9"/>
  <c r="D31" i="9"/>
  <c r="I31" i="9"/>
  <c r="R31" i="9"/>
  <c r="L31" i="9"/>
  <c r="P31" i="9"/>
  <c r="J31" i="9"/>
  <c r="E31" i="9"/>
  <c r="S31" i="9"/>
  <c r="T31" i="9"/>
  <c r="Y31" i="9"/>
  <c r="AD31" i="9"/>
  <c r="AE31" i="9"/>
  <c r="Z31" i="9"/>
  <c r="AF31" i="9"/>
  <c r="X31" i="9"/>
  <c r="AC31" i="9"/>
  <c r="AA31" i="9"/>
  <c r="W31" i="9"/>
  <c r="C6" i="11"/>
  <c r="Q32" i="11" s="1"/>
  <c r="F31" i="11"/>
  <c r="T31" i="11"/>
  <c r="I31" i="11"/>
  <c r="J31" i="11"/>
  <c r="G31" i="11"/>
  <c r="Q31" i="11"/>
  <c r="R31" i="11"/>
  <c r="P31" i="11"/>
  <c r="L31" i="11"/>
  <c r="H31" i="11"/>
  <c r="K31" i="11"/>
  <c r="U31" i="11"/>
  <c r="W31" i="11"/>
  <c r="S31" i="11"/>
  <c r="N31" i="11"/>
  <c r="V31" i="11"/>
  <c r="D31" i="11"/>
  <c r="E31" i="11"/>
  <c r="O31" i="11"/>
  <c r="M31" i="11"/>
  <c r="J31" i="12"/>
  <c r="L31" i="12"/>
  <c r="E31" i="12"/>
  <c r="F31" i="12"/>
  <c r="G31" i="12"/>
  <c r="I31" i="12"/>
  <c r="H31" i="12"/>
  <c r="M31" i="12"/>
  <c r="K31" i="12"/>
  <c r="C6" i="12"/>
  <c r="D31" i="12"/>
  <c r="R22" i="11"/>
  <c r="Q26" i="11"/>
  <c r="R22" i="9"/>
  <c r="Q26" i="9"/>
  <c r="P7" i="4"/>
  <c r="C40" i="9" l="1"/>
  <c r="G9" i="9"/>
  <c r="D32" i="9"/>
  <c r="C28" i="9"/>
  <c r="C38" i="9" s="1"/>
  <c r="C41" i="9" s="1"/>
  <c r="F32" i="9"/>
  <c r="E32" i="9"/>
  <c r="G32" i="9"/>
  <c r="H32" i="9"/>
  <c r="I32" i="9"/>
  <c r="J32" i="9"/>
  <c r="K32" i="9"/>
  <c r="L32" i="9"/>
  <c r="M32" i="9"/>
  <c r="N32" i="9"/>
  <c r="O32" i="9"/>
  <c r="P32" i="9"/>
  <c r="C40" i="12"/>
  <c r="M32" i="12"/>
  <c r="C28" i="12"/>
  <c r="C38" i="12" s="1"/>
  <c r="C41" i="12" s="1"/>
  <c r="D32" i="12"/>
  <c r="E32" i="12"/>
  <c r="G9" i="12"/>
  <c r="C8" i="12" s="1"/>
  <c r="M34" i="12" s="1"/>
  <c r="F32" i="12"/>
  <c r="G32" i="12"/>
  <c r="H32" i="12"/>
  <c r="I32" i="12"/>
  <c r="J32" i="12"/>
  <c r="K32" i="12"/>
  <c r="L32" i="12"/>
  <c r="C28" i="11"/>
  <c r="C38" i="11" s="1"/>
  <c r="C41" i="11" s="1"/>
  <c r="D32" i="11"/>
  <c r="G9" i="11"/>
  <c r="C40" i="11"/>
  <c r="E32" i="11"/>
  <c r="F32" i="11"/>
  <c r="G32" i="11"/>
  <c r="H32" i="11"/>
  <c r="I32" i="11"/>
  <c r="J32" i="11"/>
  <c r="K32" i="11"/>
  <c r="L32" i="11"/>
  <c r="M32" i="11"/>
  <c r="N32" i="11"/>
  <c r="O32" i="11"/>
  <c r="P32" i="11"/>
  <c r="S22" i="11"/>
  <c r="R32" i="11"/>
  <c r="R26" i="11"/>
  <c r="S22" i="9"/>
  <c r="R32" i="9"/>
  <c r="R26" i="9"/>
  <c r="J33" i="9" l="1"/>
  <c r="P33" i="9"/>
  <c r="N33" i="11"/>
  <c r="F33" i="11"/>
  <c r="K33" i="9"/>
  <c r="R33" i="9"/>
  <c r="K33" i="11"/>
  <c r="J33" i="11"/>
  <c r="G33" i="9"/>
  <c r="R33" i="11"/>
  <c r="I33" i="11"/>
  <c r="N33" i="9"/>
  <c r="P33" i="11"/>
  <c r="H33" i="11"/>
  <c r="O33" i="9"/>
  <c r="L33" i="9"/>
  <c r="O33" i="11"/>
  <c r="G33" i="11"/>
  <c r="M33" i="11"/>
  <c r="E33" i="11"/>
  <c r="L33" i="11"/>
  <c r="H33" i="9"/>
  <c r="M33" i="9"/>
  <c r="I33" i="9"/>
  <c r="D33" i="11"/>
  <c r="D40" i="11" s="1"/>
  <c r="I33" i="12"/>
  <c r="H33" i="12"/>
  <c r="D33" i="9"/>
  <c r="D40" i="9" s="1"/>
  <c r="F33" i="9"/>
  <c r="E33" i="9"/>
  <c r="D33" i="12"/>
  <c r="D40" i="12" s="1"/>
  <c r="M33" i="12"/>
  <c r="E33" i="12"/>
  <c r="F33" i="12"/>
  <c r="G33" i="12"/>
  <c r="J33" i="12"/>
  <c r="K33" i="12"/>
  <c r="L33" i="12"/>
  <c r="Q33" i="11"/>
  <c r="Q33" i="9"/>
  <c r="S33" i="11"/>
  <c r="S32" i="11"/>
  <c r="T22" i="11"/>
  <c r="S26" i="11"/>
  <c r="S33" i="9"/>
  <c r="S32" i="9"/>
  <c r="T22" i="9"/>
  <c r="S26" i="9"/>
  <c r="E40" i="11" l="1"/>
  <c r="F40" i="11" s="1"/>
  <c r="G40" i="11" s="1"/>
  <c r="H40" i="11" s="1"/>
  <c r="I40" i="11" s="1"/>
  <c r="J40" i="11" s="1"/>
  <c r="K40" i="11" s="1"/>
  <c r="L40" i="11" s="1"/>
  <c r="M40" i="11" s="1"/>
  <c r="N40" i="11" s="1"/>
  <c r="O40" i="11" s="1"/>
  <c r="P40" i="11" s="1"/>
  <c r="Q40" i="11" s="1"/>
  <c r="R40" i="11" s="1"/>
  <c r="S40" i="11" s="1"/>
  <c r="E40" i="12"/>
  <c r="F40" i="12" s="1"/>
  <c r="G40" i="12" s="1"/>
  <c r="H40" i="12" s="1"/>
  <c r="I40" i="12" s="1"/>
  <c r="J40" i="12" s="1"/>
  <c r="K40" i="12" s="1"/>
  <c r="L40" i="12" s="1"/>
  <c r="M40" i="12" s="1"/>
  <c r="E40" i="9"/>
  <c r="F40" i="9" s="1"/>
  <c r="G40" i="9" s="1"/>
  <c r="H40" i="9" s="1"/>
  <c r="I40" i="9" s="1"/>
  <c r="J40" i="9" s="1"/>
  <c r="K40" i="9" s="1"/>
  <c r="L40" i="9" s="1"/>
  <c r="M40" i="9" s="1"/>
  <c r="N40" i="9" s="1"/>
  <c r="O40" i="9" s="1"/>
  <c r="P40" i="9" s="1"/>
  <c r="Q40" i="9" s="1"/>
  <c r="R40" i="9" s="1"/>
  <c r="S40" i="9" s="1"/>
  <c r="U22" i="11"/>
  <c r="T32" i="11"/>
  <c r="T33" i="11"/>
  <c r="T26" i="11"/>
  <c r="T32" i="9"/>
  <c r="T33" i="9"/>
  <c r="U22" i="9"/>
  <c r="T26" i="9"/>
  <c r="T40" i="11" l="1"/>
  <c r="V22" i="11"/>
  <c r="U32" i="11"/>
  <c r="U33" i="11"/>
  <c r="U26" i="11"/>
  <c r="T40" i="9"/>
  <c r="U32" i="9"/>
  <c r="U33" i="9"/>
  <c r="V22" i="9"/>
  <c r="U26" i="9"/>
  <c r="U40" i="11" l="1"/>
  <c r="U40" i="9"/>
  <c r="V32" i="11"/>
  <c r="V33" i="11"/>
  <c r="V26" i="11"/>
  <c r="V32" i="9"/>
  <c r="V33" i="9"/>
  <c r="W22" i="9"/>
  <c r="V26" i="9"/>
  <c r="V40" i="11" l="1"/>
  <c r="W40" i="11" s="1"/>
  <c r="V40" i="9"/>
  <c r="M26" i="12"/>
  <c r="W33" i="9"/>
  <c r="X22" i="9"/>
  <c r="W32" i="9"/>
  <c r="W26" i="9"/>
  <c r="W40" i="9" l="1"/>
  <c r="X33" i="9"/>
  <c r="Y22" i="9"/>
  <c r="X32" i="9"/>
  <c r="X26" i="9"/>
  <c r="X40" i="9" l="1"/>
  <c r="Z22" i="9"/>
  <c r="Y32" i="9"/>
  <c r="Y33" i="9"/>
  <c r="Y26" i="9"/>
  <c r="Y40" i="9" l="1"/>
  <c r="AA22" i="9"/>
  <c r="Z32" i="9"/>
  <c r="Z33" i="9"/>
  <c r="Z26" i="9"/>
  <c r="Z40" i="9" l="1"/>
  <c r="AA32" i="9"/>
  <c r="AA33" i="9"/>
  <c r="AB22" i="9"/>
  <c r="AA26" i="9"/>
  <c r="AA40" i="9" l="1"/>
  <c r="AB32" i="9"/>
  <c r="AB33" i="9"/>
  <c r="AC22" i="9"/>
  <c r="AB26" i="9"/>
  <c r="AB40" i="9" l="1"/>
  <c r="AC32" i="9"/>
  <c r="AC33" i="9"/>
  <c r="AD22" i="9"/>
  <c r="AC26" i="9"/>
  <c r="AC40" i="9" l="1"/>
  <c r="AD32" i="9"/>
  <c r="AD33" i="9"/>
  <c r="AE22" i="9"/>
  <c r="AD26" i="9"/>
  <c r="AD40" i="9" l="1"/>
  <c r="AE33" i="9"/>
  <c r="AF22" i="9"/>
  <c r="AE32" i="9"/>
  <c r="AE26" i="9"/>
  <c r="AE40" i="9" l="1"/>
  <c r="AF33" i="9"/>
  <c r="AG22" i="9"/>
  <c r="AF32" i="9"/>
  <c r="AF26" i="9"/>
  <c r="AF40" i="9" l="1"/>
  <c r="W26" i="11"/>
  <c r="AG32" i="9"/>
  <c r="AG33" i="9"/>
  <c r="AG26" i="9"/>
  <c r="AG40" i="9" l="1"/>
  <c r="H60" i="4"/>
  <c r="I60" i="4" l="1"/>
  <c r="H61" i="4"/>
  <c r="I61" i="4" l="1"/>
  <c r="M8" i="4"/>
  <c r="H62" i="4"/>
  <c r="N8" i="4" l="1"/>
  <c r="M9" i="4"/>
  <c r="Q8" i="4"/>
  <c r="Q9" i="4" s="1"/>
  <c r="O8" i="4"/>
  <c r="F65" i="4"/>
  <c r="H65" i="4" s="1"/>
  <c r="H63" i="4"/>
  <c r="I62" i="4"/>
  <c r="O9" i="4" l="1"/>
  <c r="P8" i="4"/>
  <c r="P9" i="4" s="1"/>
  <c r="I65" i="4"/>
  <c r="H72" i="4"/>
  <c r="H73" i="4" s="1"/>
  <c r="N9" i="4"/>
  <c r="M10" i="4"/>
  <c r="I63" i="4"/>
  <c r="H6" i="12"/>
  <c r="H6" i="11"/>
  <c r="H6" i="9"/>
  <c r="Q10" i="4"/>
  <c r="H74" i="4" l="1"/>
  <c r="H75" i="4" s="1"/>
  <c r="I75" i="4" s="1"/>
  <c r="I73" i="4"/>
  <c r="I72" i="4"/>
  <c r="M11" i="4"/>
  <c r="M12" i="4" s="1"/>
  <c r="D18" i="6"/>
  <c r="E17" i="6"/>
  <c r="C18" i="6"/>
  <c r="B23" i="6"/>
  <c r="D21" i="6"/>
  <c r="E18" i="6"/>
  <c r="I21" i="6"/>
  <c r="I13" i="6"/>
  <c r="G22" i="6"/>
  <c r="D12" i="6"/>
  <c r="I23" i="6"/>
  <c r="G23" i="6"/>
  <c r="B13" i="6"/>
  <c r="C21" i="6"/>
  <c r="D16" i="6"/>
  <c r="F22" i="6"/>
  <c r="E22" i="6"/>
  <c r="H16" i="6"/>
  <c r="E21" i="6"/>
  <c r="B17" i="6"/>
  <c r="G17" i="6"/>
  <c r="F23" i="6"/>
  <c r="H18" i="6"/>
  <c r="E11" i="6"/>
  <c r="C11" i="6"/>
  <c r="C17" i="6"/>
  <c r="H13" i="6"/>
  <c r="H17" i="6"/>
  <c r="I12" i="6"/>
  <c r="H21" i="6"/>
  <c r="G16" i="6"/>
  <c r="C22" i="6"/>
  <c r="D23" i="6"/>
  <c r="G18" i="6"/>
  <c r="C13" i="6"/>
  <c r="I11" i="6"/>
  <c r="B18" i="6"/>
  <c r="E16" i="6"/>
  <c r="C16" i="6"/>
  <c r="B12" i="6"/>
  <c r="D13" i="6"/>
  <c r="D22" i="6"/>
  <c r="C23" i="6"/>
  <c r="F16" i="6"/>
  <c r="F12" i="6"/>
  <c r="B16" i="6"/>
  <c r="E12" i="6"/>
  <c r="I16" i="6"/>
  <c r="B22" i="6"/>
  <c r="G13" i="6"/>
  <c r="G11" i="6"/>
  <c r="H11" i="6"/>
  <c r="B11" i="6"/>
  <c r="D11" i="6"/>
  <c r="C12" i="6"/>
  <c r="I22" i="6"/>
  <c r="E23" i="6"/>
  <c r="I18" i="6"/>
  <c r="E13" i="6"/>
  <c r="G12" i="6"/>
  <c r="H12" i="6"/>
  <c r="H22" i="6"/>
  <c r="D17" i="6"/>
  <c r="I17" i="6"/>
  <c r="F21" i="6"/>
  <c r="F11" i="6"/>
  <c r="G21" i="6"/>
  <c r="F18" i="6"/>
  <c r="H23" i="6"/>
  <c r="F17" i="6"/>
  <c r="F13" i="6"/>
  <c r="B21" i="6"/>
  <c r="N10" i="4"/>
  <c r="P10" i="4"/>
  <c r="O10" i="4"/>
  <c r="G6" i="12"/>
  <c r="G6" i="11"/>
  <c r="G6" i="9"/>
  <c r="N12" i="4" l="1"/>
  <c r="M17" i="4"/>
  <c r="Q29" i="11"/>
  <c r="V29" i="11"/>
  <c r="G29" i="11"/>
  <c r="E29" i="11"/>
  <c r="N29" i="11"/>
  <c r="I29" i="11"/>
  <c r="M29" i="11"/>
  <c r="F29" i="11"/>
  <c r="T29" i="11"/>
  <c r="O29" i="11"/>
  <c r="K29" i="11"/>
  <c r="U29" i="11"/>
  <c r="S29" i="11"/>
  <c r="W29" i="11"/>
  <c r="L29" i="11"/>
  <c r="P29" i="11"/>
  <c r="R29" i="11"/>
  <c r="J29" i="11"/>
  <c r="D29" i="11"/>
  <c r="H29" i="11"/>
  <c r="O11" i="4"/>
  <c r="P11" i="4" s="1"/>
  <c r="P12" i="4" s="1"/>
  <c r="N11" i="4"/>
  <c r="Q11" i="4"/>
  <c r="Q12" i="4" s="1"/>
  <c r="G7" i="12"/>
  <c r="G7" i="9"/>
  <c r="G7" i="11"/>
  <c r="D29" i="12"/>
  <c r="I29" i="12"/>
  <c r="M29" i="12"/>
  <c r="E29" i="12"/>
  <c r="L29" i="12"/>
  <c r="G29" i="12"/>
  <c r="F29" i="12"/>
  <c r="K29" i="12"/>
  <c r="J29" i="12"/>
  <c r="H29" i="12"/>
  <c r="W29" i="9"/>
  <c r="J29" i="9"/>
  <c r="AE29" i="9"/>
  <c r="Z29" i="9"/>
  <c r="Q29" i="9"/>
  <c r="V29" i="9"/>
  <c r="I29" i="9"/>
  <c r="L29" i="9"/>
  <c r="E29" i="9"/>
  <c r="G29" i="9"/>
  <c r="AC29" i="9"/>
  <c r="X29" i="9"/>
  <c r="AG29" i="9"/>
  <c r="S29" i="9"/>
  <c r="AB29" i="9"/>
  <c r="M29" i="9"/>
  <c r="F29" i="9"/>
  <c r="K29" i="9"/>
  <c r="AA29" i="9"/>
  <c r="N29" i="9"/>
  <c r="R29" i="9"/>
  <c r="U29" i="9"/>
  <c r="O29" i="9"/>
  <c r="T29" i="9"/>
  <c r="AD29" i="9"/>
  <c r="H29" i="9"/>
  <c r="P29" i="9"/>
  <c r="AF29" i="9"/>
  <c r="Y29" i="9"/>
  <c r="D29" i="9"/>
  <c r="M14" i="4"/>
  <c r="N14" i="4" s="1"/>
  <c r="I74" i="4"/>
  <c r="O12" i="4" l="1"/>
  <c r="Q14" i="4"/>
  <c r="Q15" i="4" s="1"/>
  <c r="M15" i="4"/>
  <c r="N15" i="4" s="1"/>
  <c r="O14" i="4" l="1"/>
  <c r="P14" i="4" s="1"/>
  <c r="P15" i="4" s="1"/>
  <c r="O15" i="4" l="1"/>
  <c r="D30" i="12" l="1"/>
  <c r="D30" i="9"/>
  <c r="D30" i="11"/>
  <c r="E30" i="9" l="1"/>
  <c r="D35" i="9"/>
  <c r="D36" i="9" s="1"/>
  <c r="D37" i="9" s="1"/>
  <c r="D38" i="9" s="1"/>
  <c r="E30" i="11"/>
  <c r="D35" i="11"/>
  <c r="D36" i="11" s="1"/>
  <c r="D37" i="11" s="1"/>
  <c r="D38" i="11" s="1"/>
  <c r="D41" i="11" s="1"/>
  <c r="E30" i="12"/>
  <c r="D35" i="12"/>
  <c r="D36" i="12" s="1"/>
  <c r="D37" i="12" s="1"/>
  <c r="D38" i="12" s="1"/>
  <c r="D41" i="12" s="1"/>
  <c r="F30" i="12" l="1"/>
  <c r="E35" i="12"/>
  <c r="E36" i="12" s="1"/>
  <c r="E37" i="12" s="1"/>
  <c r="E38" i="12" s="1"/>
  <c r="E41" i="12" s="1"/>
  <c r="D41" i="9"/>
  <c r="F30" i="11"/>
  <c r="E35" i="11"/>
  <c r="E36" i="11" s="1"/>
  <c r="E37" i="11" s="1"/>
  <c r="E38" i="11" s="1"/>
  <c r="E41" i="11" s="1"/>
  <c r="F30" i="9"/>
  <c r="E35" i="9"/>
  <c r="E36" i="9" s="1"/>
  <c r="E37" i="9" s="1"/>
  <c r="E38" i="9" s="1"/>
  <c r="E41" i="9" l="1"/>
  <c r="G30" i="9"/>
  <c r="F35" i="9"/>
  <c r="F36" i="9" s="1"/>
  <c r="F37" i="9" s="1"/>
  <c r="F38" i="9" s="1"/>
  <c r="G30" i="12"/>
  <c r="F35" i="12"/>
  <c r="F36" i="12" s="1"/>
  <c r="F37" i="12" s="1"/>
  <c r="F38" i="12" s="1"/>
  <c r="F41" i="12" s="1"/>
  <c r="F35" i="11"/>
  <c r="F36" i="11" s="1"/>
  <c r="F37" i="11" s="1"/>
  <c r="F38" i="11" s="1"/>
  <c r="F41" i="11" s="1"/>
  <c r="G30" i="11"/>
  <c r="G35" i="11" l="1"/>
  <c r="G36" i="11" s="1"/>
  <c r="G37" i="11" s="1"/>
  <c r="G38" i="11" s="1"/>
  <c r="G41" i="11" s="1"/>
  <c r="H30" i="11"/>
  <c r="H30" i="12"/>
  <c r="G35" i="12"/>
  <c r="G36" i="12" s="1"/>
  <c r="G37" i="12" s="1"/>
  <c r="G38" i="12" s="1"/>
  <c r="G41" i="12" s="1"/>
  <c r="H30" i="9"/>
  <c r="G35" i="9"/>
  <c r="G36" i="9" s="1"/>
  <c r="G37" i="9" s="1"/>
  <c r="G38" i="9" s="1"/>
  <c r="F41" i="9"/>
  <c r="I30" i="12" l="1"/>
  <c r="H35" i="12"/>
  <c r="H36" i="12" s="1"/>
  <c r="H37" i="12" s="1"/>
  <c r="H38" i="12" s="1"/>
  <c r="H41" i="12" s="1"/>
  <c r="I30" i="9"/>
  <c r="H35" i="9"/>
  <c r="H36" i="9" s="1"/>
  <c r="H37" i="9" s="1"/>
  <c r="H38" i="9" s="1"/>
  <c r="G41" i="9"/>
  <c r="H35" i="11"/>
  <c r="H36" i="11" s="1"/>
  <c r="H37" i="11" s="1"/>
  <c r="H38" i="11" s="1"/>
  <c r="H41" i="11" s="1"/>
  <c r="I30" i="11"/>
  <c r="H41" i="9" l="1"/>
  <c r="I35" i="12"/>
  <c r="I36" i="12" s="1"/>
  <c r="I37" i="12" s="1"/>
  <c r="I38" i="12" s="1"/>
  <c r="I41" i="12" s="1"/>
  <c r="J30" i="12"/>
  <c r="J30" i="11"/>
  <c r="I35" i="11"/>
  <c r="I36" i="11" s="1"/>
  <c r="I37" i="11" s="1"/>
  <c r="I38" i="11" s="1"/>
  <c r="I41" i="11" s="1"/>
  <c r="J30" i="9"/>
  <c r="I35" i="9"/>
  <c r="I36" i="9" s="1"/>
  <c r="I37" i="9" s="1"/>
  <c r="I38" i="9" s="1"/>
  <c r="I41" i="9" l="1"/>
  <c r="K30" i="9"/>
  <c r="J35" i="9"/>
  <c r="J36" i="9" s="1"/>
  <c r="J37" i="9" s="1"/>
  <c r="J38" i="9" s="1"/>
  <c r="K30" i="11"/>
  <c r="J35" i="11"/>
  <c r="J36" i="11" s="1"/>
  <c r="J37" i="11" s="1"/>
  <c r="J38" i="11" s="1"/>
  <c r="J41" i="11" s="1"/>
  <c r="J35" i="12"/>
  <c r="J36" i="12" s="1"/>
  <c r="J37" i="12" s="1"/>
  <c r="J38" i="12" s="1"/>
  <c r="K30" i="12"/>
  <c r="L30" i="11" l="1"/>
  <c r="K35" i="11"/>
  <c r="K36" i="11" s="1"/>
  <c r="K37" i="11" s="1"/>
  <c r="K38" i="11" s="1"/>
  <c r="K41" i="11" s="1"/>
  <c r="L30" i="9"/>
  <c r="K35" i="9"/>
  <c r="K36" i="9" s="1"/>
  <c r="K37" i="9" s="1"/>
  <c r="K38" i="9" s="1"/>
  <c r="J41" i="9"/>
  <c r="J41" i="12"/>
  <c r="L30" i="12"/>
  <c r="K35" i="12"/>
  <c r="K36" i="12" s="1"/>
  <c r="K37" i="12" s="1"/>
  <c r="K38" i="12" s="1"/>
  <c r="K41" i="9" l="1"/>
  <c r="M30" i="12"/>
  <c r="M35" i="12" s="1"/>
  <c r="M36" i="12" s="1"/>
  <c r="M37" i="12" s="1"/>
  <c r="M38" i="12" s="1"/>
  <c r="L35" i="12"/>
  <c r="L36" i="12" s="1"/>
  <c r="L37" i="12" s="1"/>
  <c r="L38" i="12" s="1"/>
  <c r="M30" i="11"/>
  <c r="L35" i="11"/>
  <c r="L36" i="11" s="1"/>
  <c r="L37" i="11" s="1"/>
  <c r="L38" i="11" s="1"/>
  <c r="L41" i="11" s="1"/>
  <c r="M30" i="9"/>
  <c r="L35" i="9"/>
  <c r="L36" i="9" s="1"/>
  <c r="L37" i="9" s="1"/>
  <c r="L38" i="9" s="1"/>
  <c r="K41" i="12"/>
  <c r="L41" i="9" l="1"/>
  <c r="L41" i="12"/>
  <c r="M41" i="12" s="1"/>
  <c r="K10" i="12"/>
  <c r="K9" i="12"/>
  <c r="N30" i="9"/>
  <c r="M35" i="9"/>
  <c r="M36" i="9" s="1"/>
  <c r="M37" i="9" s="1"/>
  <c r="M38" i="9" s="1"/>
  <c r="M35" i="11"/>
  <c r="M36" i="11" s="1"/>
  <c r="M37" i="11" s="1"/>
  <c r="M38" i="11" s="1"/>
  <c r="M41" i="11" s="1"/>
  <c r="N30" i="11"/>
  <c r="K8" i="12"/>
  <c r="M41" i="9" l="1"/>
  <c r="O30" i="11"/>
  <c r="N35" i="11"/>
  <c r="N36" i="11" s="1"/>
  <c r="N37" i="11" s="1"/>
  <c r="N38" i="11" s="1"/>
  <c r="N41" i="11" s="1"/>
  <c r="O30" i="9"/>
  <c r="N35" i="9"/>
  <c r="N36" i="9" s="1"/>
  <c r="N37" i="9" s="1"/>
  <c r="N38" i="9" s="1"/>
  <c r="N41" i="9" l="1"/>
  <c r="P30" i="11"/>
  <c r="O35" i="11"/>
  <c r="O36" i="11" s="1"/>
  <c r="O37" i="11" s="1"/>
  <c r="O38" i="11" s="1"/>
  <c r="O41" i="11" s="1"/>
  <c r="P30" i="9"/>
  <c r="O35" i="9"/>
  <c r="O36" i="9" s="1"/>
  <c r="O37" i="9" s="1"/>
  <c r="O38" i="9" s="1"/>
  <c r="O41" i="9" l="1"/>
  <c r="Q30" i="9"/>
  <c r="P35" i="9"/>
  <c r="P36" i="9" s="1"/>
  <c r="P37" i="9" s="1"/>
  <c r="P38" i="9" s="1"/>
  <c r="P41" i="9" s="1"/>
  <c r="Q30" i="11"/>
  <c r="P35" i="11"/>
  <c r="P36" i="11" s="1"/>
  <c r="P37" i="11" s="1"/>
  <c r="P38" i="11" s="1"/>
  <c r="P41" i="11" s="1"/>
  <c r="Q35" i="11" l="1"/>
  <c r="Q36" i="11" s="1"/>
  <c r="Q37" i="11" s="1"/>
  <c r="Q38" i="11" s="1"/>
  <c r="Q41" i="11" s="1"/>
  <c r="R30" i="11"/>
  <c r="R30" i="9"/>
  <c r="Q35" i="9"/>
  <c r="Q36" i="9" s="1"/>
  <c r="Q37" i="9" s="1"/>
  <c r="Q38" i="9" s="1"/>
  <c r="Q41" i="9" s="1"/>
  <c r="S30" i="9" l="1"/>
  <c r="R35" i="9"/>
  <c r="R36" i="9" s="1"/>
  <c r="R37" i="9" s="1"/>
  <c r="R38" i="9" s="1"/>
  <c r="R41" i="9" s="1"/>
  <c r="R35" i="11"/>
  <c r="R36" i="11" s="1"/>
  <c r="R37" i="11" s="1"/>
  <c r="R38" i="11" s="1"/>
  <c r="R41" i="11" s="1"/>
  <c r="S30" i="11"/>
  <c r="T30" i="11" l="1"/>
  <c r="S35" i="11"/>
  <c r="S36" i="11" s="1"/>
  <c r="S37" i="11" s="1"/>
  <c r="S38" i="11" s="1"/>
  <c r="S41" i="11" s="1"/>
  <c r="T30" i="9"/>
  <c r="S35" i="9"/>
  <c r="S36" i="9" s="1"/>
  <c r="S37" i="9" s="1"/>
  <c r="S38" i="9" s="1"/>
  <c r="S41" i="9" s="1"/>
  <c r="U30" i="9" l="1"/>
  <c r="T35" i="9"/>
  <c r="T36" i="9" s="1"/>
  <c r="T37" i="9" s="1"/>
  <c r="T38" i="9" s="1"/>
  <c r="T41" i="9" s="1"/>
  <c r="T35" i="11"/>
  <c r="T36" i="11" s="1"/>
  <c r="T37" i="11" s="1"/>
  <c r="T38" i="11" s="1"/>
  <c r="U30" i="11"/>
  <c r="V30" i="11" l="1"/>
  <c r="U35" i="11"/>
  <c r="U36" i="11" s="1"/>
  <c r="U37" i="11" s="1"/>
  <c r="U38" i="11" s="1"/>
  <c r="T41" i="11"/>
  <c r="V30" i="9"/>
  <c r="U35" i="9"/>
  <c r="U36" i="9" s="1"/>
  <c r="U37" i="9" s="1"/>
  <c r="U38" i="9" s="1"/>
  <c r="U41" i="9" s="1"/>
  <c r="U41" i="11" l="1"/>
  <c r="W30" i="9"/>
  <c r="V35" i="9"/>
  <c r="V36" i="9" s="1"/>
  <c r="V37" i="9" s="1"/>
  <c r="V38" i="9" s="1"/>
  <c r="V41" i="9" s="1"/>
  <c r="V35" i="11"/>
  <c r="V36" i="11" s="1"/>
  <c r="V37" i="11" s="1"/>
  <c r="V38" i="11" s="1"/>
  <c r="W30" i="11"/>
  <c r="W35" i="11" s="1"/>
  <c r="W36" i="11" s="1"/>
  <c r="W37" i="11" s="1"/>
  <c r="W38" i="11" s="1"/>
  <c r="V41" i="11" l="1"/>
  <c r="W41" i="11" s="1"/>
  <c r="M4" i="11"/>
  <c r="M5" i="11"/>
  <c r="M3" i="11"/>
  <c r="X30" i="9"/>
  <c r="W35" i="9"/>
  <c r="W36" i="9" s="1"/>
  <c r="W37" i="9" s="1"/>
  <c r="W38" i="9" s="1"/>
  <c r="W41" i="9" s="1"/>
  <c r="Y30" i="9" l="1"/>
  <c r="X35" i="9"/>
  <c r="X36" i="9" s="1"/>
  <c r="X37" i="9" s="1"/>
  <c r="X38" i="9" s="1"/>
  <c r="X41" i="9" s="1"/>
  <c r="Z30" i="9" l="1"/>
  <c r="Y35" i="9"/>
  <c r="Y36" i="9" s="1"/>
  <c r="Y37" i="9" s="1"/>
  <c r="Y38" i="9" s="1"/>
  <c r="Y41" i="9" s="1"/>
  <c r="AA30" i="9" l="1"/>
  <c r="Z35" i="9"/>
  <c r="Z36" i="9" s="1"/>
  <c r="Z37" i="9" s="1"/>
  <c r="Z38" i="9" s="1"/>
  <c r="Z41" i="9" s="1"/>
  <c r="AB30" i="9" l="1"/>
  <c r="AA35" i="9"/>
  <c r="AA36" i="9" s="1"/>
  <c r="AA37" i="9" s="1"/>
  <c r="AA38" i="9" s="1"/>
  <c r="AA41" i="9" s="1"/>
  <c r="AC30" i="9" l="1"/>
  <c r="AB35" i="9"/>
  <c r="AB36" i="9" s="1"/>
  <c r="AB37" i="9" s="1"/>
  <c r="AB38" i="9" s="1"/>
  <c r="AB41" i="9" s="1"/>
  <c r="AD30" i="9" l="1"/>
  <c r="AC35" i="9"/>
  <c r="AC36" i="9" s="1"/>
  <c r="AC37" i="9" s="1"/>
  <c r="AC38" i="9" s="1"/>
  <c r="AC41" i="9" s="1"/>
  <c r="AE30" i="9" l="1"/>
  <c r="AD35" i="9"/>
  <c r="AD36" i="9" s="1"/>
  <c r="AD37" i="9" s="1"/>
  <c r="AD38" i="9" s="1"/>
  <c r="AD41" i="9" s="1"/>
  <c r="AF30" i="9" l="1"/>
  <c r="AE35" i="9"/>
  <c r="AE36" i="9" s="1"/>
  <c r="AE37" i="9" s="1"/>
  <c r="AE38" i="9" s="1"/>
  <c r="AE41" i="9" s="1"/>
  <c r="AG30" i="9" l="1"/>
  <c r="AG35" i="9" s="1"/>
  <c r="AG36" i="9" s="1"/>
  <c r="AG37" i="9" s="1"/>
  <c r="AG38" i="9" s="1"/>
  <c r="AF35" i="9"/>
  <c r="AF36" i="9" s="1"/>
  <c r="AF37" i="9" s="1"/>
  <c r="AF38" i="9" s="1"/>
  <c r="AF41" i="9" s="1"/>
  <c r="AG41" i="9" l="1"/>
  <c r="M3" i="9"/>
  <c r="M4" i="9"/>
  <c r="M5" i="9"/>
</calcChain>
</file>

<file path=xl/sharedStrings.xml><?xml version="1.0" encoding="utf-8"?>
<sst xmlns="http://schemas.openxmlformats.org/spreadsheetml/2006/main" count="455" uniqueCount="237">
  <si>
    <t>Building</t>
  </si>
  <si>
    <t>Tables</t>
  </si>
  <si>
    <t>Grinder</t>
  </si>
  <si>
    <t>Band Saw</t>
  </si>
  <si>
    <t>Hand Saw</t>
  </si>
  <si>
    <t>Knives</t>
  </si>
  <si>
    <t>Whites</t>
  </si>
  <si>
    <t>Cut Gloves</t>
  </si>
  <si>
    <t>Hair Nets</t>
  </si>
  <si>
    <t>Boots</t>
  </si>
  <si>
    <t>Aprons</t>
  </si>
  <si>
    <t>Plastic</t>
  </si>
  <si>
    <t>Paper</t>
  </si>
  <si>
    <t>Paper Holder</t>
  </si>
  <si>
    <t>Tape Dispensor</t>
  </si>
  <si>
    <t>Tape</t>
  </si>
  <si>
    <t>Grinder Knives</t>
  </si>
  <si>
    <t>Band Saw Blades</t>
  </si>
  <si>
    <t>Vacum Packager</t>
  </si>
  <si>
    <t>Vacum bags</t>
  </si>
  <si>
    <t>Scale</t>
  </si>
  <si>
    <t>Tubs</t>
  </si>
  <si>
    <t xml:space="preserve">Rail </t>
  </si>
  <si>
    <t>Baskets</t>
  </si>
  <si>
    <t>Gloves</t>
  </si>
  <si>
    <t>Cutting Tables</t>
  </si>
  <si>
    <t>per sq ft</t>
  </si>
  <si>
    <t>each</t>
  </si>
  <si>
    <t>unit</t>
  </si>
  <si>
    <t>per ft</t>
  </si>
  <si>
    <t>case</t>
  </si>
  <si>
    <t>pair</t>
  </si>
  <si>
    <t>box</t>
  </si>
  <si>
    <t>triple sink</t>
  </si>
  <si>
    <t>hand sink</t>
  </si>
  <si>
    <t>10x10 cooler</t>
  </si>
  <si>
    <t>Stamps</t>
  </si>
  <si>
    <t>Steels</t>
  </si>
  <si>
    <t>Number</t>
  </si>
  <si>
    <t>Total</t>
  </si>
  <si>
    <t>Equipment costs to get setup</t>
  </si>
  <si>
    <t>Life</t>
  </si>
  <si>
    <t>Total Cost</t>
  </si>
  <si>
    <t>Depreciation</t>
  </si>
  <si>
    <t>Supplies</t>
  </si>
  <si>
    <t>Labor</t>
  </si>
  <si>
    <t>Total Labor</t>
  </si>
  <si>
    <t>Beef processing facilty estimate based on an average of 10 beef weekly (500 per year)</t>
  </si>
  <si>
    <t>Labor Costs</t>
  </si>
  <si>
    <t>Cutters</t>
  </si>
  <si>
    <t>Wrappers</t>
  </si>
  <si>
    <t>Hours</t>
  </si>
  <si>
    <t>Unit</t>
  </si>
  <si>
    <t>Quantity</t>
  </si>
  <si>
    <t>Unit Cost</t>
  </si>
  <si>
    <t>sq ft</t>
  </si>
  <si>
    <t>Thermometers</t>
  </si>
  <si>
    <t>Packaging</t>
  </si>
  <si>
    <t>PPE</t>
  </si>
  <si>
    <t>Knife scabbards</t>
  </si>
  <si>
    <t>Sharpening stone</t>
  </si>
  <si>
    <t>Hand Saw Blades</t>
  </si>
  <si>
    <t>Barrels</t>
  </si>
  <si>
    <t>Cutting</t>
  </si>
  <si>
    <t>Other</t>
  </si>
  <si>
    <t>%</t>
  </si>
  <si>
    <t>10x10 freezer</t>
  </si>
  <si>
    <t>Reefer truck</t>
  </si>
  <si>
    <t>pounds</t>
  </si>
  <si>
    <t>Max head per year</t>
  </si>
  <si>
    <t>head</t>
  </si>
  <si>
    <t>Custom Processing</t>
  </si>
  <si>
    <t>Weight</t>
  </si>
  <si>
    <t>Cattle</t>
  </si>
  <si>
    <t>% benefits</t>
  </si>
  <si>
    <t>Maintenance</t>
  </si>
  <si>
    <t>Percent</t>
  </si>
  <si>
    <t>Month</t>
  </si>
  <si>
    <t>Interest</t>
  </si>
  <si>
    <t>Marketing and Distribution</t>
  </si>
  <si>
    <t>Total Overhead</t>
  </si>
  <si>
    <t>Business management (accounting, hr, etc.)</t>
  </si>
  <si>
    <t>Retail Price</t>
  </si>
  <si>
    <t>Animals</t>
  </si>
  <si>
    <t>Marketing &amp; Distribution</t>
  </si>
  <si>
    <t>Supplies/inputs</t>
  </si>
  <si>
    <t>Overhead</t>
  </si>
  <si>
    <t>Per Head</t>
  </si>
  <si>
    <t>% markup Retail</t>
  </si>
  <si>
    <t>Avg Retail prices</t>
  </si>
  <si>
    <t>Wholesale Prices</t>
  </si>
  <si>
    <t xml:space="preserve">Insurance </t>
  </si>
  <si>
    <t>Property Taxes</t>
  </si>
  <si>
    <t>Custom</t>
  </si>
  <si>
    <t>Cattle price per cwt</t>
  </si>
  <si>
    <t>Tax</t>
  </si>
  <si>
    <t>Tax (self-employment and income)</t>
  </si>
  <si>
    <t>Gross Income</t>
  </si>
  <si>
    <t>Total Sales</t>
  </si>
  <si>
    <t>Sales</t>
  </si>
  <si>
    <t>Utilities (power, water, sewer, etc.)</t>
  </si>
  <si>
    <t>Cost of Goods Sold</t>
  </si>
  <si>
    <t>Total Cost of Goods Sold</t>
  </si>
  <si>
    <t>Net Income After Tax</t>
  </si>
  <si>
    <t>Per Pound</t>
  </si>
  <si>
    <t>Overhead Costs</t>
  </si>
  <si>
    <t xml:space="preserve"> Total Cost of Good Sold</t>
  </si>
  <si>
    <t>Total Supplies</t>
  </si>
  <si>
    <t>Note: The net income is before paying any self-employment or income tax.</t>
  </si>
  <si>
    <t>cwt/hd</t>
  </si>
  <si>
    <t>Price</t>
  </si>
  <si>
    <t>$/cwt</t>
  </si>
  <si>
    <t xml:space="preserve">Net Income </t>
  </si>
  <si>
    <t>Cost/unit</t>
  </si>
  <si>
    <t>Head Custom</t>
  </si>
  <si>
    <t>Land investment Evaluation</t>
  </si>
  <si>
    <t>Numbers to Input</t>
  </si>
  <si>
    <t>Net present value</t>
  </si>
  <si>
    <t>Analysis Numbers</t>
  </si>
  <si>
    <t>Max Head Per Year</t>
  </si>
  <si>
    <t>Internal Rate of Return (IRR)</t>
  </si>
  <si>
    <t>Sales Per Head</t>
  </si>
  <si>
    <t>Modified IRR (MIRR)</t>
  </si>
  <si>
    <t>Initial</t>
  </si>
  <si>
    <t>Variable Cost Per Head</t>
  </si>
  <si>
    <t>Terminal</t>
  </si>
  <si>
    <t>Cash Overhead Cost</t>
  </si>
  <si>
    <t>Loan Payoff</t>
  </si>
  <si>
    <t>Growth/Inflation</t>
  </si>
  <si>
    <t>Receipts</t>
  </si>
  <si>
    <t>Depreciable Assets</t>
  </si>
  <si>
    <t>Expenses</t>
  </si>
  <si>
    <t>Truck</t>
  </si>
  <si>
    <t>5 year GDS</t>
  </si>
  <si>
    <t>Tax rate</t>
  </si>
  <si>
    <t>Equipment</t>
  </si>
  <si>
    <t>7 year GDS</t>
  </si>
  <si>
    <t>Buy Equipement Year 10</t>
  </si>
  <si>
    <t>% financed</t>
  </si>
  <si>
    <t>Buildings</t>
  </si>
  <si>
    <t>39.5 year SL</t>
  </si>
  <si>
    <t>Buy Equipment Year 20</t>
  </si>
  <si>
    <t>Finance rate</t>
  </si>
  <si>
    <t>Nominal Discount rate</t>
  </si>
  <si>
    <t xml:space="preserve"> </t>
  </si>
  <si>
    <t>After tax discount rate</t>
  </si>
  <si>
    <t>Depreciation Schedule</t>
  </si>
  <si>
    <t>Years financed</t>
  </si>
  <si>
    <t>Planning horizon</t>
  </si>
  <si>
    <t>Year &gt;&gt;</t>
  </si>
  <si>
    <t>% capacity</t>
  </si>
  <si>
    <t>Terminal value</t>
  </si>
  <si>
    <t>Cash inflow</t>
  </si>
  <si>
    <t>Down</t>
  </si>
  <si>
    <t>Operating expenses</t>
  </si>
  <si>
    <t>Cash Overhead</t>
  </si>
  <si>
    <t>Principal</t>
  </si>
  <si>
    <t>Payoff Loan/New investment</t>
  </si>
  <si>
    <t>Taxable income</t>
  </si>
  <si>
    <t>Income taxes</t>
  </si>
  <si>
    <t>Cash outflow</t>
  </si>
  <si>
    <t>Net cash flow</t>
  </si>
  <si>
    <t>Outstanding Principal</t>
  </si>
  <si>
    <t>Net payback</t>
  </si>
  <si>
    <t>Wholesale</t>
  </si>
  <si>
    <t>Loan Payment</t>
  </si>
  <si>
    <t>Head Wholesale</t>
  </si>
  <si>
    <t xml:space="preserve">Receipts </t>
  </si>
  <si>
    <t>Return on Investment (ROI)</t>
  </si>
  <si>
    <t>Gut and Bone pick up Fee</t>
  </si>
  <si>
    <t>Gut and Bon barrel fee</t>
  </si>
  <si>
    <t>Barrel</t>
  </si>
  <si>
    <t>Ecoili/salomella Tests</t>
  </si>
  <si>
    <t>Generic Tests</t>
  </si>
  <si>
    <t>heating elements</t>
  </si>
  <si>
    <t>Gut Barrels</t>
  </si>
  <si>
    <t xml:space="preserve">Acid applicator </t>
  </si>
  <si>
    <t>Splitting Saw Blades</t>
  </si>
  <si>
    <t xml:space="preserve">Hose </t>
  </si>
  <si>
    <t xml:space="preserve">Spray Nozzels </t>
  </si>
  <si>
    <t>Each</t>
  </si>
  <si>
    <t xml:space="preserve">Building </t>
  </si>
  <si>
    <t>Sq. Ft.</t>
  </si>
  <si>
    <t>Skinning Cradel</t>
  </si>
  <si>
    <t>Head loop</t>
  </si>
  <si>
    <t xml:space="preserve">Loop Holder </t>
  </si>
  <si>
    <t>Single meat trolleys</t>
  </si>
  <si>
    <t>Drop hooks</t>
  </si>
  <si>
    <t xml:space="preserve">20x30 aging cooler </t>
  </si>
  <si>
    <t xml:space="preserve">20x10 Drip cooler </t>
  </si>
  <si>
    <t>Stun Guns - Cash Specials</t>
  </si>
  <si>
    <t xml:space="preserve">Hose Rack </t>
  </si>
  <si>
    <t xml:space="preserve">Foot pedal sinks </t>
  </si>
  <si>
    <t xml:space="preserve">Gut Cart </t>
  </si>
  <si>
    <t>panels</t>
  </si>
  <si>
    <t>Gates</t>
  </si>
  <si>
    <t xml:space="preserve">man gates </t>
  </si>
  <si>
    <t>Brower Water</t>
  </si>
  <si>
    <t>Knock Box (must have head catch)</t>
  </si>
  <si>
    <t>Sterlizer Boxes</t>
  </si>
  <si>
    <t xml:space="preserve">Splitting Saw </t>
  </si>
  <si>
    <t>Well Saw</t>
  </si>
  <si>
    <t>Processing Floor Building and Equipment</t>
  </si>
  <si>
    <t>Kill Floor Building and Equipment</t>
  </si>
  <si>
    <t>Wholesale to Stores</t>
  </si>
  <si>
    <t>Small Scale Meat Packing Plant Capital Budget</t>
  </si>
  <si>
    <t>Annual Cost</t>
  </si>
  <si>
    <t>Item</t>
  </si>
  <si>
    <t xml:space="preserve">Anti Mortem Pens  </t>
  </si>
  <si>
    <t xml:space="preserve">   (4) 16 x 12</t>
  </si>
  <si>
    <t>Office furniture Equip.</t>
  </si>
  <si>
    <t xml:space="preserve">Lean to shed </t>
  </si>
  <si>
    <t>Chain Hoist</t>
  </si>
  <si>
    <t>Boxes</t>
  </si>
  <si>
    <t>Cutting Table Tops</t>
  </si>
  <si>
    <t>Grinder Plates</t>
  </si>
  <si>
    <t>Miscellaneous/cleaning</t>
  </si>
  <si>
    <t xml:space="preserve">Total </t>
  </si>
  <si>
    <t>10 year</t>
  </si>
  <si>
    <t>20 year</t>
  </si>
  <si>
    <t>Additional Cost Year 1</t>
  </si>
  <si>
    <t>Additional Cost year 1</t>
  </si>
  <si>
    <t>Meat Tree</t>
  </si>
  <si>
    <t xml:space="preserve">Note:  this is a list of extra items that would need to be purchased each year.   After the initial </t>
  </si>
  <si>
    <t>Purchase, the cost of replacement would come from miscellaneous or maintenance overhead.</t>
  </si>
  <si>
    <t>Harvest Floor</t>
  </si>
  <si>
    <t>Animal</t>
  </si>
  <si>
    <t>Carcuss</t>
  </si>
  <si>
    <t>Meat</t>
  </si>
  <si>
    <t>Head wholesale</t>
  </si>
  <si>
    <t>Premium</t>
  </si>
  <si>
    <t>% Margin Retail</t>
  </si>
  <si>
    <t>Estimated Net Income For various Wholesale prices Scenario 1</t>
  </si>
  <si>
    <t>Estimated Net Income For various Wholesale prices Scenario 2</t>
  </si>
  <si>
    <t>Estimated Net Income For various Wholesale prices Scenario 3</t>
  </si>
  <si>
    <t xml:space="preserve">This Excel file contains budgets and other financial information for a meat processing plant.  It is setup to allow the user to change anything with  a green background.  Changing these cells will change information on all of the worksheet pages.  For more information on the use of this tool and for the original study it is based on see extension.usu.edu/apec/meatprocessing.  </t>
  </si>
  <si>
    <t>The file is not protected to allow additional changes.  It is recommended to save a version that you have not changed and save another file that you can modify.  This will allow having a version that you can go back to the original in case of a formula or something else getting errors.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</si>
</sst>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quot;$&quot;#,##0"/>
    <numFmt numFmtId="168" formatCode="&quot;$&quot;#,##0.00"/>
    <numFmt numFmtId="169" formatCode="0.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1"/>
      <color rgb="FFFF0000"/>
      <name val="Calibri"/>
      <family val="2"/>
      <scheme val="minor"/>
    </font>
    <font>
      <b/>
      <i/>
      <sz val="11"/>
      <color theme="1"/>
      <name val="Calibri"/>
      <family val="2"/>
      <scheme val="minor"/>
    </font>
    <font>
      <b/>
      <sz val="12"/>
      <color theme="1"/>
      <name val="Calibri"/>
      <family val="2"/>
      <scheme val="minor"/>
    </font>
    <font>
      <sz val="11"/>
      <name val="Calibri"/>
      <family val="2"/>
      <scheme val="minor"/>
    </font>
    <font>
      <b/>
      <u/>
      <sz val="11"/>
      <color theme="1"/>
      <name val="Calibri"/>
      <family val="2"/>
      <scheme val="minor"/>
    </font>
    <font>
      <i/>
      <sz val="9"/>
      <color theme="1"/>
      <name val="Calibri"/>
      <family val="2"/>
      <scheme val="minor"/>
    </font>
    <font>
      <sz val="12"/>
      <name val="Times New Roman"/>
      <family val="1"/>
    </font>
    <font>
      <b/>
      <sz val="16"/>
      <name val="Times New Roman"/>
      <family val="1"/>
    </font>
    <font>
      <b/>
      <u/>
      <sz val="12"/>
      <name val="Times New Roman"/>
      <family val="1"/>
    </font>
    <font>
      <b/>
      <sz val="12"/>
      <name val="Times New Roman"/>
      <family val="1"/>
    </font>
    <font>
      <sz val="10"/>
      <name val="Arial"/>
      <family val="2"/>
    </font>
    <font>
      <u/>
      <sz val="12"/>
      <name val="Times New Roman"/>
      <family val="1"/>
    </font>
    <font>
      <sz val="10"/>
      <name val="Arial"/>
      <family val="2"/>
    </font>
    <font>
      <i/>
      <sz val="11"/>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59999389629810485"/>
        <bgColor indexed="8"/>
      </patternFill>
    </fill>
    <fill>
      <patternFill patternType="solid">
        <fgColor theme="9" tint="0.79998168889431442"/>
        <bgColor indexed="8"/>
      </patternFill>
    </fill>
  </fills>
  <borders count="30">
    <border>
      <left/>
      <right/>
      <top/>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top style="medium">
        <color indexed="64"/>
      </top>
      <bottom/>
      <diagonal/>
    </border>
  </borders>
  <cellStyleXfs count="9">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0" fillId="0" borderId="0">
      <alignment vertical="top"/>
    </xf>
    <xf numFmtId="44" fontId="14" fillId="0" borderId="0" applyFont="0" applyFill="0" applyBorder="0" applyAlignment="0" applyProtection="0"/>
    <xf numFmtId="10" fontId="10"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cellStyleXfs>
  <cellXfs count="260">
    <xf numFmtId="0" fontId="0" fillId="0" borderId="0" xfId="0"/>
    <xf numFmtId="8" fontId="0" fillId="0" borderId="0" xfId="0" applyNumberFormat="1"/>
    <xf numFmtId="8" fontId="0" fillId="0" borderId="0" xfId="0" applyNumberFormat="1" applyAlignment="1">
      <alignment horizontal="center"/>
    </xf>
    <xf numFmtId="0" fontId="1" fillId="0" borderId="0" xfId="0" applyFont="1" applyAlignment="1">
      <alignment horizontal="center"/>
    </xf>
    <xf numFmtId="0" fontId="1" fillId="0" borderId="0" xfId="0" applyFont="1"/>
    <xf numFmtId="3" fontId="0" fillId="0" borderId="0" xfId="0" applyNumberFormat="1" applyAlignment="1">
      <alignment horizontal="center"/>
    </xf>
    <xf numFmtId="4" fontId="0" fillId="0" borderId="0" xfId="0" applyNumberFormat="1" applyAlignment="1">
      <alignment horizontal="center"/>
    </xf>
    <xf numFmtId="0" fontId="0" fillId="0" borderId="0" xfId="0" applyAlignment="1">
      <alignment horizontal="center"/>
    </xf>
    <xf numFmtId="0" fontId="4" fillId="0" borderId="0" xfId="0" applyFont="1"/>
    <xf numFmtId="44" fontId="0" fillId="0" borderId="0" xfId="1" applyFont="1"/>
    <xf numFmtId="44" fontId="0" fillId="0" borderId="0" xfId="0" applyNumberFormat="1"/>
    <xf numFmtId="0" fontId="0" fillId="0" borderId="0" xfId="0" applyAlignment="1">
      <alignment horizontal="center"/>
    </xf>
    <xf numFmtId="164" fontId="0" fillId="0" borderId="0" xfId="1" applyNumberFormat="1" applyFont="1"/>
    <xf numFmtId="164" fontId="1" fillId="0" borderId="0" xfId="1" applyNumberFormat="1" applyFont="1"/>
    <xf numFmtId="9" fontId="0" fillId="0" borderId="0" xfId="2" applyFont="1"/>
    <xf numFmtId="164" fontId="0" fillId="0" borderId="0" xfId="0" applyNumberFormat="1"/>
    <xf numFmtId="44" fontId="0" fillId="0" borderId="0" xfId="1" applyNumberFormat="1" applyFont="1"/>
    <xf numFmtId="0" fontId="0" fillId="0" borderId="0" xfId="0" applyFill="1"/>
    <xf numFmtId="0" fontId="0" fillId="0" borderId="0" xfId="0" applyAlignment="1">
      <alignment horizontal="center"/>
    </xf>
    <xf numFmtId="165" fontId="0" fillId="0" borderId="0" xfId="3" applyNumberFormat="1" applyFont="1"/>
    <xf numFmtId="6" fontId="0" fillId="0" borderId="0" xfId="0" applyNumberFormat="1"/>
    <xf numFmtId="9" fontId="1" fillId="0" borderId="0" xfId="2"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2" borderId="0" xfId="0" applyFill="1"/>
    <xf numFmtId="164" fontId="0" fillId="2" borderId="0" xfId="1" applyNumberFormat="1" applyFont="1" applyFill="1"/>
    <xf numFmtId="44" fontId="0" fillId="2" borderId="0" xfId="1" quotePrefix="1" applyFont="1" applyFill="1"/>
    <xf numFmtId="164" fontId="3" fillId="0" borderId="0" xfId="1" applyNumberFormat="1" applyFont="1"/>
    <xf numFmtId="0" fontId="0" fillId="0" borderId="1" xfId="0" applyBorder="1"/>
    <xf numFmtId="0" fontId="0" fillId="0" borderId="2" xfId="0" applyBorder="1"/>
    <xf numFmtId="9" fontId="0" fillId="0" borderId="2" xfId="2" applyFont="1" applyBorder="1"/>
    <xf numFmtId="0" fontId="0" fillId="0" borderId="0" xfId="0" applyBorder="1"/>
    <xf numFmtId="9" fontId="0" fillId="0" borderId="0" xfId="2" applyFont="1" applyBorder="1"/>
    <xf numFmtId="0" fontId="1" fillId="0" borderId="2" xfId="0" applyFont="1" applyBorder="1"/>
    <xf numFmtId="164" fontId="0" fillId="0" borderId="0" xfId="0" applyNumberFormat="1" applyAlignment="1">
      <alignment horizontal="center"/>
    </xf>
    <xf numFmtId="44" fontId="0" fillId="0" borderId="0" xfId="0" applyNumberFormat="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0" fillId="0" borderId="0" xfId="0" applyFont="1"/>
    <xf numFmtId="43" fontId="0" fillId="0" borderId="5" xfId="3" applyFont="1" applyBorder="1"/>
    <xf numFmtId="43" fontId="0" fillId="0" borderId="1" xfId="3" applyFont="1" applyBorder="1"/>
    <xf numFmtId="43" fontId="0" fillId="0" borderId="6" xfId="3" applyFont="1" applyBorder="1"/>
    <xf numFmtId="43" fontId="0" fillId="0" borderId="0" xfId="3" applyFont="1" applyBorder="1"/>
    <xf numFmtId="43" fontId="0" fillId="0" borderId="7" xfId="3" applyFont="1" applyBorder="1"/>
    <xf numFmtId="43" fontId="0" fillId="0" borderId="8" xfId="3" applyFont="1" applyBorder="1"/>
    <xf numFmtId="0" fontId="1" fillId="0" borderId="9" xfId="0" applyFont="1" applyBorder="1"/>
    <xf numFmtId="166" fontId="0" fillId="0" borderId="0" xfId="2" applyNumberFormat="1" applyFont="1"/>
    <xf numFmtId="0" fontId="6" fillId="0" borderId="0" xfId="0" applyFont="1" applyAlignment="1">
      <alignment horizontal="left"/>
    </xf>
    <xf numFmtId="9" fontId="2" fillId="0" borderId="0" xfId="0" applyNumberFormat="1" applyFont="1" applyFill="1" applyAlignment="1">
      <alignment horizontal="center"/>
    </xf>
    <xf numFmtId="38" fontId="0" fillId="0" borderId="5" xfId="0" quotePrefix="1" applyNumberFormat="1" applyBorder="1"/>
    <xf numFmtId="38" fontId="0" fillId="0" borderId="1" xfId="0" quotePrefix="1" applyNumberFormat="1" applyBorder="1"/>
    <xf numFmtId="38" fontId="0" fillId="0" borderId="6" xfId="0" quotePrefix="1" applyNumberFormat="1" applyBorder="1"/>
    <xf numFmtId="38" fontId="0" fillId="0" borderId="0" xfId="0" quotePrefix="1" applyNumberFormat="1" applyBorder="1"/>
    <xf numFmtId="38" fontId="0" fillId="0" borderId="7" xfId="0" quotePrefix="1" applyNumberFormat="1" applyBorder="1"/>
    <xf numFmtId="38" fontId="0" fillId="0" borderId="8" xfId="0" quotePrefix="1" applyNumberFormat="1" applyBorder="1"/>
    <xf numFmtId="0" fontId="0" fillId="0" borderId="14" xfId="0" applyBorder="1" applyAlignment="1">
      <alignment horizontal="center"/>
    </xf>
    <xf numFmtId="9" fontId="0" fillId="2" borderId="14" xfId="0" applyNumberFormat="1" applyFill="1" applyBorder="1" applyAlignment="1">
      <alignment horizontal="center"/>
    </xf>
    <xf numFmtId="0" fontId="1" fillId="0" borderId="0" xfId="0" applyFont="1" applyBorder="1" applyAlignment="1">
      <alignment horizontal="center"/>
    </xf>
    <xf numFmtId="9" fontId="0" fillId="0" borderId="0" xfId="0" applyNumberFormat="1" applyFill="1"/>
    <xf numFmtId="0" fontId="0" fillId="0" borderId="0" xfId="0" applyFill="1" applyAlignment="1">
      <alignment horizontal="center"/>
    </xf>
    <xf numFmtId="0" fontId="1" fillId="0" borderId="0" xfId="0" applyFont="1" applyFill="1" applyAlignment="1">
      <alignment horizontal="center"/>
    </xf>
    <xf numFmtId="0" fontId="1" fillId="0" borderId="0" xfId="0" applyFont="1" applyFill="1" applyAlignment="1">
      <alignment horizontal="left"/>
    </xf>
    <xf numFmtId="0" fontId="0" fillId="0" borderId="0" xfId="0" applyFill="1" applyAlignment="1">
      <alignment horizontal="left"/>
    </xf>
    <xf numFmtId="0" fontId="2" fillId="0" borderId="0" xfId="0" applyFont="1" applyFill="1" applyAlignment="1">
      <alignment horizontal="center"/>
    </xf>
    <xf numFmtId="9" fontId="6" fillId="0" borderId="0" xfId="0" applyNumberFormat="1" applyFont="1" applyFill="1" applyAlignment="1">
      <alignment horizontal="center"/>
    </xf>
    <xf numFmtId="0" fontId="6" fillId="0" borderId="0" xfId="0" applyFont="1" applyFill="1" applyAlignment="1">
      <alignment horizontal="center"/>
    </xf>
    <xf numFmtId="164" fontId="1" fillId="0" borderId="0" xfId="0" applyNumberFormat="1" applyFont="1"/>
    <xf numFmtId="0" fontId="0" fillId="0" borderId="0" xfId="0" applyFill="1" applyBorder="1"/>
    <xf numFmtId="164" fontId="1" fillId="0" borderId="0" xfId="0" applyNumberFormat="1" applyFont="1" applyBorder="1"/>
    <xf numFmtId="0" fontId="1" fillId="0" borderId="0" xfId="0" applyFont="1" applyBorder="1"/>
    <xf numFmtId="0" fontId="4" fillId="0" borderId="0" xfId="0" applyFont="1" applyFill="1"/>
    <xf numFmtId="0" fontId="0" fillId="3" borderId="0" xfId="0" applyFill="1"/>
    <xf numFmtId="44" fontId="0" fillId="0" borderId="0" xfId="0" applyNumberFormat="1" applyFill="1"/>
    <xf numFmtId="44" fontId="1" fillId="0" borderId="2" xfId="0" applyNumberFormat="1" applyFont="1" applyFill="1" applyBorder="1"/>
    <xf numFmtId="164" fontId="1" fillId="0" borderId="2" xfId="0" applyNumberFormat="1" applyFont="1" applyBorder="1"/>
    <xf numFmtId="164" fontId="1" fillId="0" borderId="3" xfId="0" applyNumberFormat="1" applyFont="1" applyBorder="1"/>
    <xf numFmtId="164" fontId="1" fillId="0" borderId="3" xfId="0" applyNumberFormat="1" applyFont="1" applyBorder="1" applyAlignment="1">
      <alignment horizontal="center"/>
    </xf>
    <xf numFmtId="0" fontId="6" fillId="0" borderId="0" xfId="0" applyFont="1" applyFill="1" applyAlignment="1">
      <alignment horizontal="left"/>
    </xf>
    <xf numFmtId="0" fontId="1" fillId="0" borderId="4" xfId="0" applyFont="1" applyBorder="1"/>
    <xf numFmtId="0" fontId="0" fillId="0" borderId="0" xfId="0" applyBorder="1" applyAlignment="1">
      <alignment horizontal="center"/>
    </xf>
    <xf numFmtId="44" fontId="1" fillId="0" borderId="0" xfId="0" applyNumberFormat="1" applyFont="1" applyBorder="1" applyAlignment="1">
      <alignment horizontal="center"/>
    </xf>
    <xf numFmtId="44" fontId="0" fillId="0" borderId="0" xfId="0" applyNumberFormat="1" applyBorder="1" applyAlignment="1">
      <alignment horizontal="center"/>
    </xf>
    <xf numFmtId="164" fontId="1" fillId="0" borderId="0" xfId="1" applyNumberFormat="1" applyFont="1" applyBorder="1"/>
    <xf numFmtId="44" fontId="0" fillId="0" borderId="0" xfId="0" applyNumberFormat="1" applyBorder="1"/>
    <xf numFmtId="44" fontId="1" fillId="0" borderId="0" xfId="0" applyNumberFormat="1" applyFont="1" applyFill="1" applyBorder="1"/>
    <xf numFmtId="44" fontId="1" fillId="0" borderId="3" xfId="0" applyNumberFormat="1" applyFont="1" applyBorder="1"/>
    <xf numFmtId="44" fontId="1" fillId="0" borderId="0" xfId="0" applyNumberFormat="1" applyFont="1" applyBorder="1"/>
    <xf numFmtId="44" fontId="0" fillId="0" borderId="0" xfId="0" applyNumberFormat="1" applyFont="1" applyBorder="1"/>
    <xf numFmtId="9" fontId="1" fillId="0" borderId="10" xfId="2" applyFont="1" applyBorder="1"/>
    <xf numFmtId="9" fontId="1" fillId="0" borderId="3" xfId="2" applyFont="1" applyBorder="1" applyAlignment="1">
      <alignment horizontal="center"/>
    </xf>
    <xf numFmtId="9" fontId="0" fillId="0" borderId="0" xfId="2" applyFont="1" applyAlignment="1">
      <alignment horizontal="center"/>
    </xf>
    <xf numFmtId="9" fontId="1" fillId="0" borderId="10" xfId="2" applyFont="1" applyBorder="1" applyAlignment="1">
      <alignment horizontal="center"/>
    </xf>
    <xf numFmtId="9" fontId="1" fillId="0" borderId="2" xfId="2" applyFont="1" applyBorder="1" applyAlignment="1">
      <alignment horizontal="center"/>
    </xf>
    <xf numFmtId="0" fontId="1" fillId="0" borderId="0" xfId="0" applyFont="1" applyBorder="1" applyAlignment="1">
      <alignment horizontal="left"/>
    </xf>
    <xf numFmtId="0" fontId="0" fillId="0" borderId="0" xfId="0" applyAlignment="1">
      <alignment horizontal="left"/>
    </xf>
    <xf numFmtId="0" fontId="1" fillId="0" borderId="0" xfId="0" applyFont="1" applyAlignment="1">
      <alignment horizontal="left"/>
    </xf>
    <xf numFmtId="0" fontId="0" fillId="0" borderId="0" xfId="0" applyAlignment="1">
      <alignment horizontal="left" wrapText="1"/>
    </xf>
    <xf numFmtId="0" fontId="1" fillId="0" borderId="1" xfId="0" applyFont="1" applyBorder="1"/>
    <xf numFmtId="9" fontId="0" fillId="0" borderId="1" xfId="2" applyFont="1" applyBorder="1"/>
    <xf numFmtId="0" fontId="1" fillId="0" borderId="10" xfId="0" applyFont="1" applyBorder="1"/>
    <xf numFmtId="0" fontId="0" fillId="0" borderId="10" xfId="0" applyBorder="1"/>
    <xf numFmtId="6" fontId="1" fillId="0" borderId="10" xfId="0" applyNumberFormat="1" applyFont="1" applyBorder="1"/>
    <xf numFmtId="0" fontId="5" fillId="0" borderId="0" xfId="0" applyFont="1" applyBorder="1"/>
    <xf numFmtId="0" fontId="1" fillId="0" borderId="0" xfId="0" applyFont="1" applyBorder="1" applyAlignment="1">
      <alignment horizontal="right"/>
    </xf>
    <xf numFmtId="0" fontId="7" fillId="0" borderId="0" xfId="0" applyFont="1" applyFill="1" applyBorder="1"/>
    <xf numFmtId="166" fontId="1" fillId="0" borderId="2" xfId="2" applyNumberFormat="1" applyFont="1" applyBorder="1"/>
    <xf numFmtId="0" fontId="1" fillId="0" borderId="3" xfId="0" applyFont="1" applyBorder="1"/>
    <xf numFmtId="166" fontId="1" fillId="0" borderId="3" xfId="2" applyNumberFormat="1" applyFont="1" applyBorder="1"/>
    <xf numFmtId="44" fontId="0" fillId="2" borderId="0" xfId="1" applyNumberFormat="1" applyFont="1" applyFill="1"/>
    <xf numFmtId="9" fontId="0" fillId="2" borderId="0" xfId="2" applyFont="1" applyFill="1"/>
    <xf numFmtId="9" fontId="1" fillId="0" borderId="0" xfId="0" applyNumberFormat="1" applyFont="1" applyFill="1"/>
    <xf numFmtId="0" fontId="2" fillId="0" borderId="0" xfId="0" applyFont="1" applyBorder="1" applyAlignment="1">
      <alignment horizontal="center"/>
    </xf>
    <xf numFmtId="0" fontId="8" fillId="0" borderId="0" xfId="0" applyFont="1"/>
    <xf numFmtId="0" fontId="0" fillId="0" borderId="4" xfId="0" applyFont="1" applyBorder="1"/>
    <xf numFmtId="0" fontId="0" fillId="0" borderId="4" xfId="0" applyBorder="1"/>
    <xf numFmtId="9" fontId="1" fillId="0" borderId="0" xfId="2" applyFont="1" applyBorder="1" applyAlignment="1">
      <alignment horizontal="center"/>
    </xf>
    <xf numFmtId="164" fontId="1" fillId="0" borderId="10" xfId="1" applyNumberFormat="1" applyFont="1" applyBorder="1"/>
    <xf numFmtId="44" fontId="1" fillId="0" borderId="10" xfId="1" applyNumberFormat="1" applyFont="1" applyBorder="1"/>
    <xf numFmtId="164" fontId="0" fillId="0" borderId="0" xfId="0" applyNumberFormat="1" applyBorder="1"/>
    <xf numFmtId="0" fontId="9" fillId="0" borderId="0" xfId="0" applyFont="1" applyAlignment="1">
      <alignment horizontal="center"/>
    </xf>
    <xf numFmtId="44" fontId="0" fillId="2" borderId="0" xfId="1" applyFont="1" applyFill="1"/>
    <xf numFmtId="0" fontId="1" fillId="0" borderId="2" xfId="0" applyFont="1" applyFill="1" applyBorder="1"/>
    <xf numFmtId="0" fontId="1" fillId="0" borderId="4" xfId="0" applyFont="1" applyBorder="1" applyAlignment="1">
      <alignment horizontal="right"/>
    </xf>
    <xf numFmtId="0" fontId="0" fillId="0" borderId="4" xfId="0" applyFill="1" applyBorder="1" applyAlignment="1">
      <alignment horizontal="center"/>
    </xf>
    <xf numFmtId="38" fontId="0" fillId="0" borderId="19" xfId="0" quotePrefix="1" applyNumberFormat="1" applyBorder="1"/>
    <xf numFmtId="38" fontId="0" fillId="0" borderId="20" xfId="0" quotePrefix="1" applyNumberFormat="1" applyBorder="1"/>
    <xf numFmtId="38" fontId="0" fillId="0" borderId="22" xfId="0" quotePrefix="1" applyNumberFormat="1" applyBorder="1"/>
    <xf numFmtId="38" fontId="0" fillId="0" borderId="23" xfId="0" quotePrefix="1" applyNumberFormat="1" applyBorder="1"/>
    <xf numFmtId="38" fontId="0" fillId="0" borderId="24" xfId="0" quotePrefix="1" applyNumberFormat="1" applyBorder="1"/>
    <xf numFmtId="38" fontId="0" fillId="0" borderId="25" xfId="0" quotePrefix="1" applyNumberFormat="1" applyBorder="1"/>
    <xf numFmtId="0" fontId="11" fillId="0" borderId="0" xfId="4" applyFont="1" applyAlignment="1"/>
    <xf numFmtId="0" fontId="10" fillId="0" borderId="0" xfId="4" applyAlignment="1"/>
    <xf numFmtId="0" fontId="12" fillId="0" borderId="0" xfId="4" applyFont="1" applyAlignment="1"/>
    <xf numFmtId="0" fontId="10" fillId="0" borderId="0" xfId="4" applyFont="1" applyAlignment="1"/>
    <xf numFmtId="0" fontId="12" fillId="0" borderId="0" xfId="4" applyFont="1" applyAlignment="1">
      <alignment horizontal="center"/>
    </xf>
    <xf numFmtId="0" fontId="13" fillId="4" borderId="0" xfId="4" applyFont="1" applyFill="1" applyAlignment="1"/>
    <xf numFmtId="0" fontId="13" fillId="5" borderId="0" xfId="4" applyFont="1" applyFill="1" applyAlignment="1"/>
    <xf numFmtId="0" fontId="10" fillId="4" borderId="0" xfId="4" applyFill="1" applyAlignment="1"/>
    <xf numFmtId="164" fontId="13" fillId="4" borderId="0" xfId="5" applyNumberFormat="1" applyFont="1" applyFill="1"/>
    <xf numFmtId="0" fontId="10" fillId="5" borderId="0" xfId="4" applyFill="1" applyAlignment="1"/>
    <xf numFmtId="10" fontId="13" fillId="5" borderId="0" xfId="4" applyNumberFormat="1" applyFont="1" applyFill="1" applyAlignment="1"/>
    <xf numFmtId="0" fontId="10" fillId="0" borderId="0" xfId="4" applyFill="1" applyAlignment="1"/>
    <xf numFmtId="0" fontId="13" fillId="0" borderId="0" xfId="4" applyFont="1" applyAlignment="1"/>
    <xf numFmtId="0" fontId="13" fillId="0" borderId="0" xfId="4" applyFont="1" applyFill="1" applyAlignment="1"/>
    <xf numFmtId="164" fontId="10" fillId="0" borderId="0" xfId="5" applyNumberFormat="1" applyFont="1" applyFill="1" applyAlignment="1"/>
    <xf numFmtId="0" fontId="10" fillId="0" borderId="0" xfId="4" applyAlignment="1">
      <alignment horizontal="center"/>
    </xf>
    <xf numFmtId="167" fontId="10" fillId="0" borderId="0" xfId="4" applyNumberFormat="1" applyFill="1" applyAlignment="1"/>
    <xf numFmtId="0" fontId="10" fillId="0" borderId="0" xfId="4" applyAlignment="1">
      <alignment horizontal="left"/>
    </xf>
    <xf numFmtId="0" fontId="12" fillId="0" borderId="0" xfId="4" applyFont="1" applyBorder="1" applyAlignment="1"/>
    <xf numFmtId="0" fontId="15" fillId="0" borderId="0" xfId="4" applyFont="1" applyBorder="1" applyAlignment="1"/>
    <xf numFmtId="8" fontId="10" fillId="0" borderId="0" xfId="4" applyNumberFormat="1" applyFill="1" applyAlignment="1"/>
    <xf numFmtId="1" fontId="10" fillId="0" borderId="0" xfId="4" applyNumberFormat="1" applyAlignment="1"/>
    <xf numFmtId="10" fontId="10" fillId="0" borderId="0" xfId="6" applyFill="1"/>
    <xf numFmtId="3" fontId="12" fillId="0" borderId="0" xfId="4" applyNumberFormat="1" applyFont="1" applyAlignment="1"/>
    <xf numFmtId="0" fontId="13" fillId="0" borderId="0" xfId="4" applyFont="1" applyAlignment="1">
      <alignment horizontal="center"/>
    </xf>
    <xf numFmtId="3" fontId="13" fillId="0" borderId="0" xfId="4" applyNumberFormat="1" applyFont="1" applyAlignment="1">
      <alignment horizontal="center"/>
    </xf>
    <xf numFmtId="169" fontId="10" fillId="0" borderId="0" xfId="4" applyNumberFormat="1" applyAlignment="1"/>
    <xf numFmtId="0" fontId="10" fillId="0" borderId="10" xfId="4" applyBorder="1" applyAlignment="1"/>
    <xf numFmtId="0" fontId="13" fillId="0" borderId="10" xfId="4" applyFont="1" applyBorder="1" applyAlignment="1"/>
    <xf numFmtId="3" fontId="10" fillId="0" borderId="0" xfId="4" applyNumberFormat="1" applyAlignment="1"/>
    <xf numFmtId="0" fontId="10" fillId="0" borderId="2" xfId="4" applyBorder="1" applyAlignment="1"/>
    <xf numFmtId="3" fontId="10" fillId="0" borderId="2" xfId="4" applyNumberFormat="1" applyBorder="1" applyAlignment="1"/>
    <xf numFmtId="4" fontId="10" fillId="0" borderId="0" xfId="4" applyNumberFormat="1" applyAlignment="1"/>
    <xf numFmtId="167" fontId="10" fillId="0" borderId="0" xfId="4" applyNumberFormat="1" applyAlignment="1"/>
    <xf numFmtId="168" fontId="10" fillId="0" borderId="0" xfId="4" applyNumberFormat="1" applyAlignment="1"/>
    <xf numFmtId="0" fontId="10" fillId="0" borderId="1" xfId="4" applyBorder="1" applyAlignment="1"/>
    <xf numFmtId="3" fontId="10" fillId="0" borderId="1" xfId="4" applyNumberFormat="1" applyBorder="1" applyAlignment="1"/>
    <xf numFmtId="3" fontId="10" fillId="0" borderId="10" xfId="4" applyNumberFormat="1" applyBorder="1" applyAlignment="1"/>
    <xf numFmtId="4" fontId="10" fillId="0" borderId="2" xfId="4" applyNumberFormat="1" applyBorder="1" applyAlignment="1"/>
    <xf numFmtId="8" fontId="10" fillId="0" borderId="0" xfId="4" applyNumberFormat="1" applyAlignment="1"/>
    <xf numFmtId="0" fontId="10" fillId="6" borderId="0" xfId="4" applyFill="1" applyAlignment="1">
      <alignment horizontal="center"/>
    </xf>
    <xf numFmtId="164" fontId="10" fillId="6" borderId="0" xfId="5" applyNumberFormat="1" applyFont="1" applyFill="1" applyAlignment="1"/>
    <xf numFmtId="0" fontId="10" fillId="2" borderId="0" xfId="4" applyFill="1" applyAlignment="1"/>
    <xf numFmtId="167" fontId="10" fillId="2" borderId="0" xfId="4" applyNumberFormat="1" applyFill="1" applyAlignment="1"/>
    <xf numFmtId="10" fontId="10" fillId="6" borderId="0" xfId="6" applyFill="1"/>
    <xf numFmtId="10" fontId="10" fillId="2" borderId="0" xfId="6" applyFill="1"/>
    <xf numFmtId="0" fontId="10" fillId="6" borderId="0" xfId="4" applyFill="1" applyAlignment="1"/>
    <xf numFmtId="164" fontId="10" fillId="2" borderId="0" xfId="5" applyNumberFormat="1" applyFont="1" applyFill="1" applyAlignment="1"/>
    <xf numFmtId="9" fontId="10" fillId="2" borderId="0" xfId="4" applyNumberFormat="1" applyFont="1" applyFill="1" applyAlignment="1"/>
    <xf numFmtId="0" fontId="0" fillId="0" borderId="15" xfId="0" applyBorder="1"/>
    <xf numFmtId="0" fontId="7" fillId="0" borderId="0" xfId="0" applyFont="1" applyFill="1"/>
    <xf numFmtId="0" fontId="7" fillId="0" borderId="0" xfId="0" applyFont="1" applyFill="1" applyAlignment="1">
      <alignment horizontal="center"/>
    </xf>
    <xf numFmtId="165" fontId="0" fillId="0" borderId="0" xfId="3" applyNumberFormat="1" applyFont="1" applyFill="1"/>
    <xf numFmtId="164" fontId="1" fillId="0" borderId="1" xfId="1" applyNumberFormat="1" applyFont="1" applyBorder="1"/>
    <xf numFmtId="164" fontId="1" fillId="0" borderId="2" xfId="1" applyNumberFormat="1" applyFont="1" applyBorder="1"/>
    <xf numFmtId="44" fontId="1" fillId="0" borderId="2" xfId="0" applyNumberFormat="1" applyFont="1" applyBorder="1"/>
    <xf numFmtId="164" fontId="0" fillId="0" borderId="0" xfId="1" applyNumberFormat="1" applyFont="1" applyFill="1"/>
    <xf numFmtId="164" fontId="7" fillId="0" borderId="0" xfId="1" applyNumberFormat="1" applyFont="1" applyFill="1"/>
    <xf numFmtId="164" fontId="1" fillId="0" borderId="2" xfId="1" applyNumberFormat="1" applyFont="1" applyFill="1" applyBorder="1"/>
    <xf numFmtId="164" fontId="1" fillId="0" borderId="2" xfId="0" applyNumberFormat="1" applyFont="1" applyFill="1" applyBorder="1"/>
    <xf numFmtId="0" fontId="0" fillId="0" borderId="0" xfId="0" applyFill="1" applyAlignment="1">
      <alignment wrapText="1"/>
    </xf>
    <xf numFmtId="0" fontId="1" fillId="0" borderId="0" xfId="0" applyFont="1" applyFill="1" applyAlignment="1">
      <alignment wrapText="1"/>
    </xf>
    <xf numFmtId="0" fontId="1" fillId="0" borderId="0" xfId="0" applyFont="1" applyFill="1"/>
    <xf numFmtId="164" fontId="10" fillId="2" borderId="0" xfId="1" applyNumberFormat="1" applyFont="1" applyFill="1" applyAlignment="1"/>
    <xf numFmtId="0" fontId="0" fillId="2" borderId="0" xfId="0" applyFill="1" applyAlignment="1">
      <alignment horizontal="center"/>
    </xf>
    <xf numFmtId="0" fontId="7" fillId="2" borderId="0" xfId="0" applyFont="1" applyFill="1" applyAlignment="1">
      <alignment horizontal="center"/>
    </xf>
    <xf numFmtId="0" fontId="0" fillId="2" borderId="4" xfId="0" applyFill="1" applyBorder="1" applyAlignment="1">
      <alignment horizontal="center"/>
    </xf>
    <xf numFmtId="164" fontId="0" fillId="2" borderId="0" xfId="1" applyNumberFormat="1" applyFont="1" applyFill="1" applyAlignment="1">
      <alignment horizontal="center"/>
    </xf>
    <xf numFmtId="164" fontId="7" fillId="2" borderId="0" xfId="1" applyNumberFormat="1" applyFont="1" applyFill="1"/>
    <xf numFmtId="164" fontId="0" fillId="2" borderId="4" xfId="1" applyNumberFormat="1" applyFont="1" applyFill="1" applyBorder="1" applyAlignment="1">
      <alignment horizontal="center"/>
    </xf>
    <xf numFmtId="0" fontId="7" fillId="2" borderId="0" xfId="0" applyFont="1" applyFill="1"/>
    <xf numFmtId="0" fontId="0" fillId="2" borderId="4" xfId="0" applyFill="1" applyBorder="1"/>
    <xf numFmtId="166" fontId="0" fillId="0" borderId="0" xfId="2" applyNumberFormat="1" applyFont="1" applyFill="1"/>
    <xf numFmtId="43" fontId="0" fillId="0" borderId="0" xfId="3" applyFont="1" applyFill="1"/>
    <xf numFmtId="164" fontId="10" fillId="0" borderId="0" xfId="1" applyNumberFormat="1" applyFont="1" applyFill="1" applyAlignment="1"/>
    <xf numFmtId="44" fontId="0" fillId="0" borderId="0" xfId="1" applyNumberFormat="1" applyFont="1" applyFill="1"/>
    <xf numFmtId="0" fontId="17" fillId="0" borderId="0" xfId="0" applyFont="1"/>
    <xf numFmtId="166" fontId="0" fillId="0" borderId="0" xfId="0" applyNumberFormat="1"/>
    <xf numFmtId="9" fontId="0" fillId="2" borderId="0" xfId="0" applyNumberFormat="1" applyFill="1" applyAlignment="1">
      <alignment horizontal="center"/>
    </xf>
    <xf numFmtId="0" fontId="0" fillId="0" borderId="0" xfId="0" applyAlignment="1">
      <alignment horizontal="right"/>
    </xf>
    <xf numFmtId="165" fontId="0" fillId="0" borderId="0" xfId="3" applyNumberFormat="1" applyFont="1" applyAlignment="1">
      <alignment horizontal="right"/>
    </xf>
    <xf numFmtId="165" fontId="0" fillId="2" borderId="0" xfId="3" applyNumberFormat="1" applyFont="1" applyFill="1" applyAlignment="1">
      <alignment horizontal="right"/>
    </xf>
    <xf numFmtId="0" fontId="1" fillId="0" borderId="0" xfId="0" applyFont="1" applyAlignment="1">
      <alignment horizontal="right"/>
    </xf>
    <xf numFmtId="0" fontId="0" fillId="2" borderId="0" xfId="0" applyFill="1" applyAlignment="1">
      <alignment horizontal="right"/>
    </xf>
    <xf numFmtId="165" fontId="0" fillId="2" borderId="0" xfId="0" applyNumberFormat="1" applyFill="1" applyAlignment="1">
      <alignment horizontal="right"/>
    </xf>
    <xf numFmtId="0" fontId="0" fillId="0" borderId="0" xfId="0" applyFill="1" applyAlignment="1">
      <alignment horizontal="right"/>
    </xf>
    <xf numFmtId="0" fontId="1" fillId="0" borderId="1" xfId="0" applyFont="1" applyBorder="1" applyAlignment="1">
      <alignment horizontal="right"/>
    </xf>
    <xf numFmtId="0" fontId="1" fillId="0" borderId="2" xfId="0" applyFont="1" applyBorder="1" applyAlignment="1">
      <alignment horizontal="right"/>
    </xf>
    <xf numFmtId="9" fontId="0" fillId="2" borderId="0" xfId="0" applyNumberFormat="1" applyFill="1" applyAlignment="1">
      <alignment horizontal="right"/>
    </xf>
    <xf numFmtId="0" fontId="18" fillId="2" borderId="0" xfId="0" applyFont="1" applyFill="1" applyBorder="1" applyAlignment="1">
      <alignment horizontal="center"/>
    </xf>
    <xf numFmtId="0" fontId="9" fillId="0" borderId="0" xfId="0" applyFont="1" applyBorder="1" applyAlignment="1">
      <alignment horizontal="center"/>
    </xf>
    <xf numFmtId="0" fontId="0" fillId="0" borderId="18" xfId="0" applyBorder="1" applyAlignment="1">
      <alignment horizontal="center"/>
    </xf>
    <xf numFmtId="0" fontId="18" fillId="0" borderId="20" xfId="0" applyFont="1" applyFill="1" applyBorder="1" applyAlignment="1">
      <alignment horizontal="center"/>
    </xf>
    <xf numFmtId="0" fontId="18" fillId="2" borderId="4" xfId="0" applyFont="1" applyFill="1" applyBorder="1" applyAlignment="1">
      <alignment horizontal="center"/>
    </xf>
    <xf numFmtId="9" fontId="0" fillId="0" borderId="28" xfId="0" applyNumberFormat="1" applyFill="1" applyBorder="1" applyAlignment="1">
      <alignment horizontal="center"/>
    </xf>
    <xf numFmtId="9" fontId="0" fillId="0" borderId="15" xfId="0" applyNumberFormat="1" applyFill="1" applyBorder="1" applyAlignment="1">
      <alignment horizontal="center"/>
    </xf>
    <xf numFmtId="0" fontId="0" fillId="0" borderId="27" xfId="0" applyBorder="1" applyAlignment="1">
      <alignment horizontal="center"/>
    </xf>
    <xf numFmtId="0" fontId="9" fillId="0" borderId="4" xfId="0" applyFont="1" applyBorder="1" applyAlignment="1">
      <alignment horizontal="center"/>
    </xf>
    <xf numFmtId="0" fontId="18" fillId="0" borderId="26" xfId="0" applyFont="1" applyFill="1" applyBorder="1" applyAlignment="1">
      <alignment horizontal="center"/>
    </xf>
    <xf numFmtId="44" fontId="0" fillId="0" borderId="4" xfId="1" applyFont="1" applyFill="1" applyBorder="1"/>
    <xf numFmtId="9" fontId="0" fillId="0" borderId="18" xfId="0" applyNumberFormat="1" applyFill="1" applyBorder="1" applyAlignment="1">
      <alignment horizontal="center"/>
    </xf>
    <xf numFmtId="9" fontId="0" fillId="0" borderId="21" xfId="0" applyNumberFormat="1" applyFill="1" applyBorder="1" applyAlignment="1">
      <alignment horizontal="center"/>
    </xf>
    <xf numFmtId="44" fontId="0" fillId="2" borderId="12" xfId="1" applyFont="1" applyFill="1" applyBorder="1"/>
    <xf numFmtId="44" fontId="0" fillId="2" borderId="13" xfId="1" applyFont="1" applyFill="1" applyBorder="1"/>
    <xf numFmtId="44" fontId="0" fillId="0" borderId="13" xfId="1" applyFont="1" applyFill="1" applyBorder="1"/>
    <xf numFmtId="0" fontId="1" fillId="0" borderId="10" xfId="0" applyFont="1" applyBorder="1" applyAlignment="1"/>
    <xf numFmtId="9" fontId="0" fillId="2" borderId="11" xfId="0" applyNumberFormat="1" applyFill="1" applyBorder="1"/>
    <xf numFmtId="0" fontId="1" fillId="0" borderId="9" xfId="0" applyFont="1" applyBorder="1" applyAlignment="1">
      <alignment horizontal="center"/>
    </xf>
    <xf numFmtId="0" fontId="0" fillId="0" borderId="0" xfId="0" applyFill="1" applyBorder="1" applyAlignment="1">
      <alignment horizontal="center"/>
    </xf>
    <xf numFmtId="0" fontId="0" fillId="2" borderId="0" xfId="0" applyFill="1" applyBorder="1" applyAlignment="1">
      <alignment horizontal="center"/>
    </xf>
    <xf numFmtId="164" fontId="0" fillId="2" borderId="0" xfId="1" applyNumberFormat="1" applyFont="1" applyFill="1" applyBorder="1" applyAlignment="1">
      <alignment horizontal="center"/>
    </xf>
    <xf numFmtId="164" fontId="0" fillId="0" borderId="0" xfId="1" applyNumberFormat="1" applyFont="1" applyFill="1" applyBorder="1"/>
    <xf numFmtId="0" fontId="0" fillId="2" borderId="0" xfId="0" applyFill="1" applyBorder="1"/>
    <xf numFmtId="0" fontId="1" fillId="0" borderId="0" xfId="0" applyFont="1" applyBorder="1" applyAlignment="1">
      <alignment horizontal="center"/>
    </xf>
    <xf numFmtId="6" fontId="0" fillId="0" borderId="0" xfId="0" applyNumberFormat="1" applyAlignment="1">
      <alignment horizontal="center"/>
    </xf>
    <xf numFmtId="0" fontId="1" fillId="0" borderId="0" xfId="0" applyFont="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1" fillId="0" borderId="29"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9" fillId="0" borderId="12" xfId="0" applyFont="1" applyBorder="1" applyAlignment="1">
      <alignment horizontal="center"/>
    </xf>
    <xf numFmtId="0" fontId="9" fillId="0" borderId="4" xfId="0" applyFont="1" applyBorder="1" applyAlignment="1">
      <alignment horizontal="center"/>
    </xf>
    <xf numFmtId="0" fontId="0" fillId="0" borderId="0" xfId="0" applyProtection="1">
      <protection locked="0"/>
    </xf>
    <xf numFmtId="0" fontId="0" fillId="0" borderId="0" xfId="0" applyAlignment="1">
      <alignment wrapText="1"/>
    </xf>
    <xf numFmtId="0" fontId="0" fillId="0" borderId="0" xfId="0" applyAlignment="1">
      <alignment vertical="top" wrapText="1"/>
    </xf>
  </cellXfs>
  <cellStyles count="9">
    <cellStyle name="Comma" xfId="3" builtinId="3"/>
    <cellStyle name="Comma 2" xfId="8" xr:uid="{CDE8EAD2-C397-42EC-AB70-C0E2C0B896FA}"/>
    <cellStyle name="Currency" xfId="1" builtinId="4"/>
    <cellStyle name="Currency 2" xfId="5" xr:uid="{EA19EDB2-8E71-42BF-9CEA-6C6202A62BF0}"/>
    <cellStyle name="Currency 3" xfId="7" xr:uid="{1E259D86-B229-4185-B04C-71D0D598C0A2}"/>
    <cellStyle name="Normal" xfId="0" builtinId="0"/>
    <cellStyle name="Normal_hw12 key" xfId="4" xr:uid="{9719C45A-7266-49AD-BF83-D6E69EF3719F}"/>
    <cellStyle name="Percent" xfId="2" builtinId="5"/>
    <cellStyle name="Percent_hw12 key" xfId="6" xr:uid="{40361273-C019-4248-B39C-21C10C6A7712}"/>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2F972-E90F-42A5-9B2B-9503BA6D96BD}">
  <dimension ref="A2:A3"/>
  <sheetViews>
    <sheetView tabSelected="1" workbookViewId="0">
      <selection activeCell="A5" sqref="A5"/>
    </sheetView>
  </sheetViews>
  <sheetFormatPr defaultRowHeight="14.5" x14ac:dyDescent="0.35"/>
  <cols>
    <col min="1" max="1" width="89.453125" customWidth="1"/>
  </cols>
  <sheetData>
    <row r="2" spans="1:1" ht="90.5" customHeight="1" x14ac:dyDescent="0.35">
      <c r="A2" s="259" t="s">
        <v>235</v>
      </c>
    </row>
    <row r="3" spans="1:1" ht="43.5" x14ac:dyDescent="0.35">
      <c r="A3" s="258" t="s">
        <v>236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81212-11BC-45FA-811E-C8DEBFA9DE13}">
  <dimension ref="A1:V96"/>
  <sheetViews>
    <sheetView zoomScale="140" zoomScaleNormal="140" workbookViewId="0">
      <selection activeCell="C86" sqref="C86"/>
    </sheetView>
  </sheetViews>
  <sheetFormatPr defaultRowHeight="14.5" x14ac:dyDescent="0.35"/>
  <cols>
    <col min="1" max="1" width="2.08984375" customWidth="1"/>
    <col min="2" max="2" width="3.453125" customWidth="1"/>
    <col min="3" max="3" width="26.453125" customWidth="1"/>
    <col min="4" max="4" width="6.6328125" customWidth="1"/>
    <col min="5" max="5" width="10.54296875" customWidth="1"/>
    <col min="6" max="6" width="8.26953125" customWidth="1"/>
    <col min="7" max="7" width="10.7265625" customWidth="1"/>
    <col min="8" max="8" width="13.26953125" customWidth="1"/>
    <col min="9" max="9" width="6.54296875" customWidth="1"/>
    <col min="10" max="10" width="14.36328125" customWidth="1"/>
    <col min="11" max="11" width="12.453125" customWidth="1"/>
    <col min="12" max="12" width="23.90625" customWidth="1"/>
    <col min="13" max="13" width="14.90625" customWidth="1"/>
    <col min="14" max="14" width="10.81640625" customWidth="1"/>
    <col min="15" max="16" width="11.81640625" customWidth="1"/>
    <col min="17" max="17" width="10.26953125" customWidth="1"/>
    <col min="18" max="18" width="11.54296875" customWidth="1"/>
    <col min="20" max="20" width="16.1796875" customWidth="1"/>
    <col min="21" max="21" width="11" bestFit="1" customWidth="1"/>
  </cols>
  <sheetData>
    <row r="1" spans="1:19" ht="18.5" x14ac:dyDescent="0.45">
      <c r="C1" s="24" t="s">
        <v>47</v>
      </c>
      <c r="D1" s="22"/>
      <c r="E1" s="22"/>
      <c r="F1" s="22"/>
      <c r="G1" s="22"/>
      <c r="H1" s="22"/>
      <c r="I1" s="22"/>
      <c r="K1" s="22"/>
      <c r="L1" s="22"/>
      <c r="M1" s="112"/>
      <c r="N1" s="112"/>
      <c r="O1" s="244" t="s">
        <v>164</v>
      </c>
      <c r="P1" s="244"/>
      <c r="Q1" s="58" t="s">
        <v>93</v>
      </c>
      <c r="R1" s="244"/>
      <c r="S1" s="244"/>
    </row>
    <row r="2" spans="1:19" ht="18.5" x14ac:dyDescent="0.45">
      <c r="C2" s="78"/>
      <c r="D2" s="65"/>
      <c r="E2" s="17"/>
      <c r="G2" s="4" t="s">
        <v>72</v>
      </c>
      <c r="H2" s="22"/>
      <c r="I2" s="22"/>
      <c r="J2" s="64"/>
      <c r="K2" s="22"/>
      <c r="L2" s="38"/>
      <c r="M2" s="37" t="s">
        <v>39</v>
      </c>
      <c r="N2" s="37" t="s">
        <v>76</v>
      </c>
      <c r="O2" s="37" t="s">
        <v>87</v>
      </c>
      <c r="P2" s="37" t="s">
        <v>104</v>
      </c>
      <c r="Q2" s="37" t="s">
        <v>87</v>
      </c>
      <c r="R2" s="32"/>
      <c r="S2" s="58"/>
    </row>
    <row r="3" spans="1:19" ht="14.5" customHeight="1" thickBot="1" x14ac:dyDescent="0.5">
      <c r="C3" s="48" t="s">
        <v>69</v>
      </c>
      <c r="D3" s="66">
        <v>750</v>
      </c>
      <c r="F3" s="4" t="s">
        <v>226</v>
      </c>
      <c r="G3" s="25">
        <v>1300</v>
      </c>
      <c r="I3" s="49"/>
      <c r="K3" s="22"/>
      <c r="L3" s="94" t="s">
        <v>99</v>
      </c>
      <c r="M3" s="76">
        <f>H10</f>
        <v>1132875</v>
      </c>
      <c r="N3" s="90">
        <f>M3/M3</f>
        <v>1</v>
      </c>
      <c r="O3" s="77">
        <f>H8/$D$4</f>
        <v>2275</v>
      </c>
      <c r="P3" s="86">
        <f>O3/$G$5</f>
        <v>6.5</v>
      </c>
      <c r="Q3" s="76">
        <f>G9</f>
        <v>485.00000000000006</v>
      </c>
      <c r="R3" s="119"/>
      <c r="S3" s="81"/>
    </row>
    <row r="4" spans="1:19" ht="14.5" customHeight="1" thickTop="1" x14ac:dyDescent="0.35">
      <c r="C4" t="s">
        <v>166</v>
      </c>
      <c r="D4" s="25">
        <v>450</v>
      </c>
      <c r="F4" s="4" t="s">
        <v>227</v>
      </c>
      <c r="G4" s="25">
        <v>700</v>
      </c>
      <c r="L4" s="96" t="s">
        <v>101</v>
      </c>
      <c r="N4" s="23"/>
      <c r="O4" s="11"/>
      <c r="R4" s="119"/>
      <c r="S4" s="80"/>
    </row>
    <row r="5" spans="1:19" ht="15.5" customHeight="1" x14ac:dyDescent="0.35">
      <c r="C5" t="s">
        <v>114</v>
      </c>
      <c r="D5" s="25">
        <v>225</v>
      </c>
      <c r="F5" s="4" t="s">
        <v>228</v>
      </c>
      <c r="G5" s="25">
        <v>350</v>
      </c>
      <c r="L5" s="95" t="s">
        <v>83</v>
      </c>
      <c r="M5" s="12">
        <f>H14</f>
        <v>672750</v>
      </c>
      <c r="N5" s="91">
        <f>M5/$M$3</f>
        <v>0.59384309831181725</v>
      </c>
      <c r="O5" s="35">
        <f t="shared" ref="O5:O6" si="0">M5/$D$4</f>
        <v>1495</v>
      </c>
      <c r="P5" s="88">
        <f>O5/$G$5</f>
        <v>4.2714285714285714</v>
      </c>
      <c r="Q5" s="72"/>
      <c r="R5" s="119"/>
      <c r="S5" s="82"/>
    </row>
    <row r="6" spans="1:19" x14ac:dyDescent="0.35">
      <c r="L6" s="95" t="s">
        <v>84</v>
      </c>
      <c r="M6" s="15">
        <f>H15</f>
        <v>31500</v>
      </c>
      <c r="N6" s="91">
        <f t="shared" ref="N6:N15" si="1">M6/$M$3</f>
        <v>2.7805362462760674E-2</v>
      </c>
      <c r="O6" s="35">
        <f t="shared" si="0"/>
        <v>70</v>
      </c>
      <c r="P6" s="88">
        <f t="shared" ref="P6:P8" si="2">O6/$G$5</f>
        <v>0.2</v>
      </c>
      <c r="Q6" s="72"/>
      <c r="R6" s="119"/>
      <c r="S6" s="82"/>
    </row>
    <row r="7" spans="1:19" x14ac:dyDescent="0.35">
      <c r="B7" s="79" t="s">
        <v>99</v>
      </c>
      <c r="C7" s="114"/>
      <c r="D7" s="79" t="s">
        <v>52</v>
      </c>
      <c r="E7" s="37" t="s">
        <v>53</v>
      </c>
      <c r="F7" s="37"/>
      <c r="G7" s="37" t="s">
        <v>110</v>
      </c>
      <c r="H7" s="37" t="s">
        <v>39</v>
      </c>
      <c r="I7" s="37" t="s">
        <v>65</v>
      </c>
      <c r="L7" s="95" t="s">
        <v>45</v>
      </c>
      <c r="M7" s="15">
        <f>H19</f>
        <v>155479.99999999997</v>
      </c>
      <c r="N7" s="91">
        <f t="shared" si="1"/>
        <v>0.13724373827650885</v>
      </c>
      <c r="O7" s="35">
        <f>M7/($D$4+$D$5)</f>
        <v>230.3407407407407</v>
      </c>
      <c r="P7" s="88">
        <f t="shared" si="2"/>
        <v>0.65811640211640199</v>
      </c>
      <c r="Q7" s="35">
        <f>M7/($D$4+$D$5)</f>
        <v>230.3407407407407</v>
      </c>
      <c r="R7" s="119"/>
      <c r="S7" s="82"/>
    </row>
    <row r="8" spans="1:19" x14ac:dyDescent="0.35">
      <c r="C8" t="s">
        <v>204</v>
      </c>
      <c r="D8" t="s">
        <v>68</v>
      </c>
      <c r="E8" s="19">
        <f>D4*G5</f>
        <v>157500</v>
      </c>
      <c r="G8" s="121">
        <v>6.5</v>
      </c>
      <c r="H8" s="12">
        <f>E8*G8</f>
        <v>1023750</v>
      </c>
      <c r="I8" s="14">
        <f>H8/$H$10</f>
        <v>0.90367428003972194</v>
      </c>
      <c r="L8" s="95" t="s">
        <v>85</v>
      </c>
      <c r="M8" s="20">
        <f>H61</f>
        <v>28658.21</v>
      </c>
      <c r="N8" s="91">
        <f t="shared" si="1"/>
        <v>2.5296886240759129E-2</v>
      </c>
      <c r="O8" s="35">
        <f>M8/($D$4+$D$5)</f>
        <v>42.456607407407404</v>
      </c>
      <c r="P8" s="88">
        <f t="shared" si="2"/>
        <v>0.12130459259259259</v>
      </c>
      <c r="Q8" s="35">
        <f>M8/($D$4+$D$5)</f>
        <v>42.456607407407404</v>
      </c>
      <c r="R8" s="119"/>
      <c r="S8" s="82"/>
    </row>
    <row r="9" spans="1:19" x14ac:dyDescent="0.35">
      <c r="C9" t="s">
        <v>71</v>
      </c>
      <c r="D9" t="s">
        <v>70</v>
      </c>
      <c r="E9">
        <f>D5</f>
        <v>225</v>
      </c>
      <c r="G9" s="26">
        <f>100+0.55*700</f>
        <v>485.00000000000006</v>
      </c>
      <c r="H9" s="12">
        <f>E9*G9</f>
        <v>109125.00000000001</v>
      </c>
      <c r="I9" s="14">
        <f>H9/$H$10</f>
        <v>9.6325719960278069E-2</v>
      </c>
      <c r="L9" s="96" t="s">
        <v>102</v>
      </c>
      <c r="M9" s="117">
        <f>SUM(M5:M8)</f>
        <v>888388.21</v>
      </c>
      <c r="N9" s="92">
        <f t="shared" si="1"/>
        <v>0.78418908529184594</v>
      </c>
      <c r="O9" s="117">
        <f t="shared" ref="O9:Q9" si="3">SUM(O5:O8)</f>
        <v>1837.7973481481481</v>
      </c>
      <c r="P9" s="118">
        <f>SUM(P5:P8)</f>
        <v>5.2508495661375658</v>
      </c>
      <c r="Q9" s="117">
        <f t="shared" si="3"/>
        <v>272.7973481481481</v>
      </c>
      <c r="R9" s="119"/>
      <c r="S9" s="83"/>
    </row>
    <row r="10" spans="1:19" ht="15" thickBot="1" x14ac:dyDescent="0.4">
      <c r="C10" s="4" t="s">
        <v>98</v>
      </c>
      <c r="D10" s="4"/>
      <c r="E10" s="4"/>
      <c r="F10" s="4"/>
      <c r="G10" s="4"/>
      <c r="H10" s="67">
        <f>SUM(H8:H9)</f>
        <v>1132875</v>
      </c>
      <c r="I10" s="21">
        <f>H10/$H$10</f>
        <v>1</v>
      </c>
      <c r="L10" s="96" t="s">
        <v>97</v>
      </c>
      <c r="M10" s="75">
        <f>M3-M9</f>
        <v>244486.79000000004</v>
      </c>
      <c r="N10" s="93">
        <f t="shared" si="1"/>
        <v>0.21581091470815406</v>
      </c>
      <c r="O10" s="75">
        <f t="shared" ref="O10:Q10" si="4">O3-O9</f>
        <v>437.2026518518519</v>
      </c>
      <c r="P10" s="186">
        <f t="shared" si="4"/>
        <v>1.2491504338624342</v>
      </c>
      <c r="Q10" s="75">
        <f t="shared" si="4"/>
        <v>212.20265185185195</v>
      </c>
      <c r="R10" s="119"/>
      <c r="S10" s="32"/>
    </row>
    <row r="11" spans="1:19" ht="15" thickTop="1" x14ac:dyDescent="0.35">
      <c r="L11" s="95" t="s">
        <v>86</v>
      </c>
      <c r="M11" s="20">
        <f>H72</f>
        <v>128268.10085</v>
      </c>
      <c r="N11" s="91">
        <f t="shared" si="1"/>
        <v>0.11322352496965685</v>
      </c>
      <c r="O11" s="35">
        <f>M11/($D$4+$D$5)</f>
        <v>190.02681607407408</v>
      </c>
      <c r="P11" s="88">
        <f t="shared" ref="P11:P14" si="5">O11/$G$5</f>
        <v>0.54293376021164019</v>
      </c>
      <c r="Q11" s="35">
        <f>M11/($D$4+$D$5)</f>
        <v>190.02681607407408</v>
      </c>
      <c r="R11" s="119"/>
      <c r="S11" s="82"/>
    </row>
    <row r="12" spans="1:19" ht="15" thickBot="1" x14ac:dyDescent="0.4">
      <c r="B12" s="79" t="s">
        <v>101</v>
      </c>
      <c r="C12" s="115"/>
      <c r="D12" s="79" t="s">
        <v>52</v>
      </c>
      <c r="E12" s="79" t="s">
        <v>53</v>
      </c>
      <c r="F12" s="79"/>
      <c r="G12" s="79" t="s">
        <v>54</v>
      </c>
      <c r="H12" s="37" t="s">
        <v>39</v>
      </c>
      <c r="I12" s="79" t="s">
        <v>65</v>
      </c>
      <c r="L12" s="96" t="s">
        <v>112</v>
      </c>
      <c r="M12" s="75">
        <f>M10-M11</f>
        <v>116218.68915000003</v>
      </c>
      <c r="N12" s="93">
        <f t="shared" si="1"/>
        <v>0.10258738973849722</v>
      </c>
      <c r="O12" s="75">
        <f>O10-O11</f>
        <v>247.17583577777782</v>
      </c>
      <c r="P12" s="186">
        <f>P9-P11</f>
        <v>4.7079158059259258</v>
      </c>
      <c r="Q12" s="75">
        <f>Q10-Q11</f>
        <v>22.175835777777877</v>
      </c>
      <c r="R12" s="119"/>
      <c r="S12" s="69"/>
    </row>
    <row r="13" spans="1:19" ht="11" customHeight="1" thickTop="1" x14ac:dyDescent="0.35">
      <c r="B13" s="70"/>
      <c r="C13" s="32"/>
      <c r="E13" s="113"/>
      <c r="F13" s="120" t="s">
        <v>109</v>
      </c>
      <c r="G13" s="120" t="s">
        <v>111</v>
      </c>
      <c r="L13" s="96"/>
      <c r="M13" s="69"/>
      <c r="N13" s="116"/>
      <c r="O13" s="69"/>
      <c r="P13" s="87"/>
      <c r="Q13" s="69"/>
      <c r="R13" s="119"/>
      <c r="S13" s="69"/>
    </row>
    <row r="14" spans="1:19" x14ac:dyDescent="0.35">
      <c r="A14" s="32"/>
      <c r="B14" s="70" t="s">
        <v>73</v>
      </c>
      <c r="D14" t="s">
        <v>70</v>
      </c>
      <c r="E14" s="210">
        <f>D4</f>
        <v>450</v>
      </c>
      <c r="F14" s="23">
        <f>G3/100</f>
        <v>13</v>
      </c>
      <c r="G14" s="121">
        <v>115</v>
      </c>
      <c r="H14" s="12">
        <f>E14*F14*G14</f>
        <v>672750</v>
      </c>
      <c r="I14" s="14">
        <f>H14/$H$10</f>
        <v>0.59384309831181725</v>
      </c>
      <c r="L14" s="97" t="s">
        <v>95</v>
      </c>
      <c r="M14" s="15">
        <f>H74</f>
        <v>40676.541202500011</v>
      </c>
      <c r="N14" s="91">
        <f t="shared" si="1"/>
        <v>3.5905586408474029E-2</v>
      </c>
      <c r="O14" s="36">
        <f>$E$74*O12</f>
        <v>86.511542522222229</v>
      </c>
      <c r="P14" s="88">
        <f t="shared" si="5"/>
        <v>0.2471758357777778</v>
      </c>
      <c r="Q14" s="36">
        <f>$E$74*Q12</f>
        <v>7.761542522222256</v>
      </c>
      <c r="R14" s="119"/>
      <c r="S14" s="84"/>
    </row>
    <row r="15" spans="1:19" ht="15" thickBot="1" x14ac:dyDescent="0.4">
      <c r="A15" s="32"/>
      <c r="B15" s="70" t="s">
        <v>79</v>
      </c>
      <c r="D15" t="s">
        <v>68</v>
      </c>
      <c r="E15" s="211">
        <f>E8</f>
        <v>157500</v>
      </c>
      <c r="F15" s="35"/>
      <c r="G15" s="121">
        <v>0.2</v>
      </c>
      <c r="H15" s="15">
        <f>E15*G15</f>
        <v>31500</v>
      </c>
      <c r="I15" s="14">
        <f>H15/$H$10</f>
        <v>2.7805362462760674E-2</v>
      </c>
      <c r="L15" s="62" t="s">
        <v>103</v>
      </c>
      <c r="M15" s="190">
        <f>M12-M14</f>
        <v>75542.147947500023</v>
      </c>
      <c r="N15" s="93">
        <f t="shared" si="1"/>
        <v>6.6681803330023187E-2</v>
      </c>
      <c r="O15" s="74">
        <f t="shared" ref="O15:Q15" si="6">O12-O14</f>
        <v>160.66429325555561</v>
      </c>
      <c r="P15" s="74">
        <f>P12-P14</f>
        <v>4.4607399701481478</v>
      </c>
      <c r="Q15" s="74">
        <f t="shared" si="6"/>
        <v>14.41429325555562</v>
      </c>
      <c r="R15" s="119"/>
      <c r="S15" s="85"/>
    </row>
    <row r="16" spans="1:19" ht="15" thickTop="1" x14ac:dyDescent="0.35">
      <c r="A16" s="32"/>
      <c r="B16" s="70" t="s">
        <v>48</v>
      </c>
      <c r="E16" s="210"/>
      <c r="F16" s="120" t="s">
        <v>74</v>
      </c>
      <c r="L16" s="17"/>
      <c r="M16" s="59"/>
      <c r="N16" s="59"/>
      <c r="O16" s="59"/>
      <c r="P16" s="59"/>
      <c r="Q16" s="17"/>
      <c r="R16" s="68"/>
      <c r="S16" s="32"/>
    </row>
    <row r="17" spans="1:22" x14ac:dyDescent="0.35">
      <c r="A17" s="32"/>
      <c r="B17" s="32"/>
      <c r="C17" s="32" t="s">
        <v>49</v>
      </c>
      <c r="D17" t="s">
        <v>51</v>
      </c>
      <c r="E17" s="212">
        <f>2080*3</f>
        <v>6240</v>
      </c>
      <c r="F17" s="209">
        <v>0.15</v>
      </c>
      <c r="G17" s="27">
        <v>17.5</v>
      </c>
      <c r="H17" s="12">
        <f>E17*G17*(1+F17)</f>
        <v>125579.99999999999</v>
      </c>
      <c r="I17" s="14">
        <f>H17/$H$10</f>
        <v>0.11085071168487255</v>
      </c>
      <c r="J17" s="10"/>
      <c r="L17" s="62" t="s">
        <v>168</v>
      </c>
      <c r="M17" s="203">
        <f>M12/'Initial Costs'!F34</f>
        <v>8.1544386677767478E-2</v>
      </c>
      <c r="N17" s="17"/>
      <c r="P17" s="73"/>
      <c r="Q17" s="17"/>
      <c r="R17" s="17"/>
      <c r="T17" s="9"/>
    </row>
    <row r="18" spans="1:22" x14ac:dyDescent="0.35">
      <c r="A18" s="32"/>
      <c r="B18" s="32"/>
      <c r="C18" s="32" t="s">
        <v>50</v>
      </c>
      <c r="D18" t="s">
        <v>51</v>
      </c>
      <c r="E18" s="212">
        <v>2080</v>
      </c>
      <c r="F18" s="209">
        <v>0.15</v>
      </c>
      <c r="G18" s="27">
        <v>12.5</v>
      </c>
      <c r="H18" s="12">
        <f>E18*G18*(1+F18)</f>
        <v>29899.999999999996</v>
      </c>
      <c r="I18" s="14">
        <f>H18/$H$10</f>
        <v>2.639302659163632E-2</v>
      </c>
      <c r="L18" s="111"/>
      <c r="M18" s="17"/>
      <c r="N18" s="17"/>
      <c r="O18" s="17"/>
      <c r="P18" s="17"/>
      <c r="Q18" s="17"/>
      <c r="R18" s="17"/>
      <c r="T18" s="9"/>
    </row>
    <row r="19" spans="1:22" x14ac:dyDescent="0.35">
      <c r="A19" s="32"/>
      <c r="B19" s="32"/>
      <c r="C19" s="104" t="s">
        <v>46</v>
      </c>
      <c r="D19" s="4"/>
      <c r="E19" s="213"/>
      <c r="F19" s="4"/>
      <c r="G19" s="4"/>
      <c r="H19" s="13">
        <f>SUM(H17:H18)</f>
        <v>155479.99999999997</v>
      </c>
      <c r="I19" s="14">
        <f>H19/$H$10</f>
        <v>0.13724373827650885</v>
      </c>
      <c r="L19" s="59"/>
      <c r="M19" s="17"/>
      <c r="O19" s="17"/>
      <c r="P19" s="17"/>
      <c r="Q19" s="17"/>
      <c r="R19" s="17"/>
      <c r="T19" s="9"/>
    </row>
    <row r="20" spans="1:22" x14ac:dyDescent="0.35">
      <c r="A20" s="32"/>
      <c r="B20" s="103" t="s">
        <v>44</v>
      </c>
      <c r="C20" s="104"/>
      <c r="D20" s="4"/>
      <c r="E20" s="213"/>
      <c r="F20" s="4"/>
      <c r="G20" s="4"/>
      <c r="H20" s="13"/>
      <c r="I20" s="14"/>
      <c r="M20" s="17"/>
      <c r="O20" s="17"/>
      <c r="P20" s="17"/>
      <c r="Q20" s="17"/>
      <c r="R20" s="17"/>
      <c r="T20" s="9"/>
    </row>
    <row r="21" spans="1:22" x14ac:dyDescent="0.35">
      <c r="A21" s="32"/>
      <c r="B21" s="32" t="s">
        <v>58</v>
      </c>
      <c r="D21" s="3"/>
      <c r="E21" s="213"/>
      <c r="F21" s="3"/>
      <c r="G21" s="3"/>
      <c r="H21" s="3"/>
      <c r="I21" s="3"/>
      <c r="V21" s="9"/>
    </row>
    <row r="22" spans="1:22" x14ac:dyDescent="0.35">
      <c r="A22" s="32"/>
      <c r="B22" s="32"/>
      <c r="C22" s="68" t="s">
        <v>8</v>
      </c>
      <c r="D22" s="11" t="s">
        <v>32</v>
      </c>
      <c r="E22" s="214">
        <v>12</v>
      </c>
      <c r="G22" s="109">
        <v>8</v>
      </c>
      <c r="H22" s="12">
        <f t="shared" ref="H22:H27" si="7">G22*E22</f>
        <v>96</v>
      </c>
      <c r="I22" s="47">
        <f t="shared" ref="I22:I26" si="8">H22/$H$10</f>
        <v>8.474015226746111E-5</v>
      </c>
      <c r="K22" s="3"/>
      <c r="M22" s="61"/>
      <c r="N22" s="61"/>
      <c r="O22" s="3"/>
      <c r="P22" s="38"/>
      <c r="Q22" s="3"/>
      <c r="R22" s="38"/>
      <c r="S22" s="3"/>
      <c r="T22" s="3"/>
    </row>
    <row r="23" spans="1:22" x14ac:dyDescent="0.35">
      <c r="A23" s="32"/>
      <c r="B23" s="32"/>
      <c r="C23" s="68" t="s">
        <v>24</v>
      </c>
      <c r="D23" s="11" t="s">
        <v>32</v>
      </c>
      <c r="E23" s="214">
        <v>48</v>
      </c>
      <c r="G23" s="109">
        <v>14</v>
      </c>
      <c r="H23" s="12">
        <f t="shared" si="7"/>
        <v>672</v>
      </c>
      <c r="I23" s="47">
        <f t="shared" si="8"/>
        <v>5.9318106587222773E-4</v>
      </c>
      <c r="K23" s="3"/>
      <c r="M23" s="61"/>
      <c r="N23" s="61"/>
      <c r="O23" s="3"/>
      <c r="P23" s="38"/>
      <c r="Q23" s="3"/>
      <c r="R23" s="38"/>
      <c r="S23" s="3"/>
      <c r="T23" s="3"/>
    </row>
    <row r="24" spans="1:22" x14ac:dyDescent="0.35">
      <c r="A24" s="32"/>
      <c r="B24" s="32"/>
      <c r="C24" s="68" t="s">
        <v>7</v>
      </c>
      <c r="D24" s="11" t="s">
        <v>27</v>
      </c>
      <c r="E24" s="214">
        <v>8</v>
      </c>
      <c r="G24" s="109">
        <v>18.5</v>
      </c>
      <c r="H24" s="12">
        <f t="shared" si="7"/>
        <v>148</v>
      </c>
      <c r="I24" s="47">
        <f t="shared" si="8"/>
        <v>1.3064106807900253E-4</v>
      </c>
      <c r="K24" s="2"/>
      <c r="L24" s="63"/>
      <c r="M24" s="17"/>
      <c r="N24" s="17"/>
      <c r="O24" s="11"/>
      <c r="P24" s="23"/>
      <c r="Q24" s="11"/>
      <c r="R24" s="23"/>
      <c r="S24" s="11"/>
    </row>
    <row r="25" spans="1:22" x14ac:dyDescent="0.35">
      <c r="A25" s="32"/>
      <c r="B25" s="32"/>
      <c r="C25" s="68" t="s">
        <v>9</v>
      </c>
      <c r="D25" s="11" t="s">
        <v>31</v>
      </c>
      <c r="E25" s="214">
        <v>4</v>
      </c>
      <c r="G25" s="109">
        <v>90</v>
      </c>
      <c r="H25" s="12">
        <f t="shared" si="7"/>
        <v>360</v>
      </c>
      <c r="I25" s="47">
        <f t="shared" si="8"/>
        <v>3.1777557100297912E-4</v>
      </c>
      <c r="K25" s="2"/>
      <c r="L25" s="95"/>
      <c r="O25" s="11"/>
      <c r="P25" s="23"/>
      <c r="Q25" s="11"/>
      <c r="R25" s="23"/>
      <c r="S25" s="11"/>
    </row>
    <row r="26" spans="1:22" x14ac:dyDescent="0.35">
      <c r="A26" s="32"/>
      <c r="B26" s="32"/>
      <c r="C26" s="68" t="s">
        <v>10</v>
      </c>
      <c r="D26" s="11" t="s">
        <v>27</v>
      </c>
      <c r="E26" s="214">
        <v>4</v>
      </c>
      <c r="G26" s="109">
        <v>14</v>
      </c>
      <c r="H26" s="12">
        <f t="shared" si="7"/>
        <v>56</v>
      </c>
      <c r="I26" s="47">
        <f t="shared" si="8"/>
        <v>4.9431755489352313E-5</v>
      </c>
      <c r="K26" s="2"/>
      <c r="L26" s="11"/>
      <c r="O26" s="11"/>
      <c r="P26" s="23"/>
      <c r="Q26" s="11"/>
      <c r="R26" s="23"/>
      <c r="S26" s="11"/>
    </row>
    <row r="27" spans="1:22" x14ac:dyDescent="0.35">
      <c r="A27" s="32"/>
      <c r="B27" s="32"/>
      <c r="C27" s="68" t="s">
        <v>6</v>
      </c>
      <c r="D27" s="11" t="s">
        <v>27</v>
      </c>
      <c r="E27" s="214">
        <v>12</v>
      </c>
      <c r="G27" s="109">
        <v>23</v>
      </c>
      <c r="H27" s="12">
        <f t="shared" si="7"/>
        <v>276</v>
      </c>
      <c r="I27" s="47">
        <f>H27/$H$10</f>
        <v>2.4362793776895069E-4</v>
      </c>
      <c r="K27" s="2"/>
      <c r="L27" s="23"/>
      <c r="O27" s="23"/>
      <c r="P27" s="23"/>
      <c r="Q27" s="23"/>
      <c r="R27" s="23"/>
      <c r="S27" s="23"/>
    </row>
    <row r="28" spans="1:22" x14ac:dyDescent="0.35">
      <c r="A28" s="32"/>
      <c r="B28" s="32" t="s">
        <v>57</v>
      </c>
      <c r="D28" s="11"/>
      <c r="E28" s="210"/>
      <c r="G28" s="16"/>
      <c r="H28" s="12"/>
      <c r="I28" s="208"/>
      <c r="K28" s="2"/>
      <c r="S28" s="11"/>
    </row>
    <row r="29" spans="1:22" x14ac:dyDescent="0.35">
      <c r="A29" s="32"/>
      <c r="B29" s="32"/>
      <c r="C29" s="68" t="s">
        <v>15</v>
      </c>
      <c r="D29" s="11" t="s">
        <v>30</v>
      </c>
      <c r="E29" s="214">
        <v>1</v>
      </c>
      <c r="G29" s="109">
        <v>120</v>
      </c>
      <c r="H29" s="12">
        <f>G29*E29</f>
        <v>120</v>
      </c>
      <c r="I29" s="47">
        <f t="shared" ref="I29:I31" si="9">H29/$H$10</f>
        <v>1.0592519033432638E-4</v>
      </c>
      <c r="K29" s="2"/>
      <c r="S29" s="11"/>
    </row>
    <row r="30" spans="1:22" x14ac:dyDescent="0.35">
      <c r="A30" s="32"/>
      <c r="B30" s="32"/>
      <c r="C30" s="68" t="s">
        <v>12</v>
      </c>
      <c r="D30" s="11" t="s">
        <v>27</v>
      </c>
      <c r="E30" s="214">
        <v>72</v>
      </c>
      <c r="G30" s="109">
        <v>32</v>
      </c>
      <c r="H30" s="12">
        <f>G30*E30</f>
        <v>2304</v>
      </c>
      <c r="I30" s="47">
        <f t="shared" si="9"/>
        <v>2.0337636544190667E-3</v>
      </c>
      <c r="K30" s="2"/>
      <c r="S30" s="11"/>
    </row>
    <row r="31" spans="1:22" x14ac:dyDescent="0.35">
      <c r="A31" s="32"/>
      <c r="B31" s="32"/>
      <c r="C31" s="68" t="s">
        <v>11</v>
      </c>
      <c r="D31" s="11" t="s">
        <v>27</v>
      </c>
      <c r="E31" s="214">
        <v>48</v>
      </c>
      <c r="G31" s="109">
        <v>73</v>
      </c>
      <c r="H31" s="12">
        <f>G31*E31</f>
        <v>3504</v>
      </c>
      <c r="I31" s="47">
        <f t="shared" si="9"/>
        <v>3.0930155577623304E-3</v>
      </c>
      <c r="K31" s="2"/>
      <c r="S31" s="11"/>
    </row>
    <row r="32" spans="1:22" x14ac:dyDescent="0.35">
      <c r="A32" s="32"/>
      <c r="B32" s="32"/>
      <c r="C32" s="68" t="s">
        <v>19</v>
      </c>
      <c r="D32" s="11" t="s">
        <v>27</v>
      </c>
      <c r="E32" s="212">
        <v>3000</v>
      </c>
      <c r="G32" s="109">
        <v>0.6</v>
      </c>
      <c r="H32" s="12">
        <f>G32*E32</f>
        <v>1800</v>
      </c>
      <c r="I32" s="47">
        <f>H32/$H$10</f>
        <v>1.5888778550148957E-3</v>
      </c>
      <c r="K32" s="2"/>
      <c r="S32" s="23"/>
    </row>
    <row r="33" spans="1:19" x14ac:dyDescent="0.35">
      <c r="A33" s="32"/>
      <c r="B33" s="32"/>
      <c r="C33" s="68" t="s">
        <v>213</v>
      </c>
      <c r="D33" s="23" t="s">
        <v>27</v>
      </c>
      <c r="E33" s="215">
        <f>E15/60</f>
        <v>2625</v>
      </c>
      <c r="G33" s="109">
        <v>2</v>
      </c>
      <c r="H33" s="12">
        <f>G33*E33</f>
        <v>5250</v>
      </c>
      <c r="I33" s="47">
        <f>H33/$H$10</f>
        <v>4.6342270771267792E-3</v>
      </c>
      <c r="K33" s="2"/>
      <c r="S33" s="23"/>
    </row>
    <row r="34" spans="1:19" x14ac:dyDescent="0.35">
      <c r="A34" s="32"/>
      <c r="B34" s="32" t="s">
        <v>63</v>
      </c>
      <c r="C34" s="68"/>
      <c r="D34" s="11"/>
      <c r="E34" s="210"/>
      <c r="G34" s="16"/>
      <c r="H34" s="12"/>
      <c r="I34" s="208"/>
      <c r="K34" s="2"/>
      <c r="S34" s="11"/>
    </row>
    <row r="35" spans="1:19" x14ac:dyDescent="0.35">
      <c r="A35" s="32"/>
      <c r="B35" s="32"/>
      <c r="C35" s="68" t="s">
        <v>17</v>
      </c>
      <c r="D35" s="11" t="s">
        <v>27</v>
      </c>
      <c r="E35" s="214">
        <v>16</v>
      </c>
      <c r="G35" s="109">
        <v>10.5</v>
      </c>
      <c r="H35" s="12">
        <f t="shared" ref="H35:H41" si="10">G35*E35</f>
        <v>168</v>
      </c>
      <c r="I35" s="47">
        <f t="shared" ref="I35:I41" si="11">H35/$H$10</f>
        <v>1.4829526646805693E-4</v>
      </c>
      <c r="K35" s="2"/>
      <c r="S35" s="11"/>
    </row>
    <row r="36" spans="1:19" x14ac:dyDescent="0.35">
      <c r="A36" s="32"/>
      <c r="B36" s="32"/>
      <c r="C36" s="68" t="s">
        <v>5</v>
      </c>
      <c r="D36" s="11" t="s">
        <v>27</v>
      </c>
      <c r="E36" s="214">
        <v>32</v>
      </c>
      <c r="G36" s="109">
        <v>20</v>
      </c>
      <c r="H36" s="12">
        <f t="shared" si="10"/>
        <v>640</v>
      </c>
      <c r="I36" s="47">
        <f t="shared" si="11"/>
        <v>5.6493434844974075E-4</v>
      </c>
      <c r="K36" s="2"/>
      <c r="S36" s="11"/>
    </row>
    <row r="37" spans="1:19" x14ac:dyDescent="0.35">
      <c r="A37" s="32"/>
      <c r="B37" s="32"/>
      <c r="C37" s="68" t="s">
        <v>59</v>
      </c>
      <c r="D37" s="11" t="s">
        <v>27</v>
      </c>
      <c r="E37" s="214">
        <v>1.33</v>
      </c>
      <c r="G37" s="109">
        <v>20</v>
      </c>
      <c r="H37" s="12">
        <f t="shared" si="10"/>
        <v>26.6</v>
      </c>
      <c r="I37" s="47">
        <f t="shared" si="11"/>
        <v>2.3480083857442348E-5</v>
      </c>
      <c r="K37" s="2"/>
      <c r="S37" s="11"/>
    </row>
    <row r="38" spans="1:19" x14ac:dyDescent="0.35">
      <c r="A38" s="32"/>
      <c r="B38" s="32"/>
      <c r="C38" s="68" t="s">
        <v>60</v>
      </c>
      <c r="D38" s="11" t="s">
        <v>28</v>
      </c>
      <c r="E38" s="214">
        <v>0.33</v>
      </c>
      <c r="G38" s="109">
        <v>195</v>
      </c>
      <c r="H38" s="12">
        <f t="shared" si="10"/>
        <v>64.350000000000009</v>
      </c>
      <c r="I38" s="47">
        <f t="shared" si="11"/>
        <v>5.6802383316782526E-5</v>
      </c>
      <c r="K38" s="2"/>
      <c r="L38" s="11"/>
      <c r="O38" s="11"/>
      <c r="P38" s="23"/>
      <c r="Q38" s="11"/>
      <c r="R38" s="23"/>
      <c r="S38" s="11"/>
    </row>
    <row r="39" spans="1:19" x14ac:dyDescent="0.35">
      <c r="A39" s="32"/>
      <c r="B39" s="32"/>
      <c r="C39" s="68" t="s">
        <v>16</v>
      </c>
      <c r="D39" s="11" t="s">
        <v>27</v>
      </c>
      <c r="E39" s="214">
        <v>2</v>
      </c>
      <c r="G39" s="109">
        <v>60</v>
      </c>
      <c r="H39" s="12">
        <f t="shared" si="10"/>
        <v>120</v>
      </c>
      <c r="I39" s="47">
        <f t="shared" si="11"/>
        <v>1.0592519033432638E-4</v>
      </c>
      <c r="K39" s="1"/>
      <c r="L39" s="11"/>
      <c r="O39" s="11"/>
      <c r="P39" s="23"/>
      <c r="Q39" s="11"/>
      <c r="R39" s="23"/>
      <c r="S39" s="6"/>
    </row>
    <row r="40" spans="1:19" x14ac:dyDescent="0.35">
      <c r="A40" s="32"/>
      <c r="B40" s="32"/>
      <c r="C40" s="68" t="s">
        <v>215</v>
      </c>
      <c r="D40" s="11" t="s">
        <v>27</v>
      </c>
      <c r="E40" s="214">
        <v>2</v>
      </c>
      <c r="G40" s="109">
        <v>130</v>
      </c>
      <c r="H40" s="12">
        <f>G40*E40</f>
        <v>260</v>
      </c>
      <c r="I40" s="47">
        <f>H40/$H$10</f>
        <v>2.2950457905770717E-4</v>
      </c>
      <c r="K40" s="1"/>
      <c r="L40" s="23"/>
      <c r="O40" s="23"/>
      <c r="P40" s="23"/>
      <c r="Q40" s="23"/>
      <c r="R40" s="23"/>
      <c r="S40" s="6"/>
    </row>
    <row r="41" spans="1:19" x14ac:dyDescent="0.35">
      <c r="A41" s="32"/>
      <c r="B41" s="32"/>
      <c r="C41" s="68" t="s">
        <v>61</v>
      </c>
      <c r="D41" s="11" t="s">
        <v>27</v>
      </c>
      <c r="E41" s="214">
        <v>6</v>
      </c>
      <c r="G41" s="109">
        <v>4</v>
      </c>
      <c r="H41" s="12">
        <f t="shared" si="10"/>
        <v>24</v>
      </c>
      <c r="I41" s="47">
        <f t="shared" si="11"/>
        <v>2.1185038066865277E-5</v>
      </c>
      <c r="K41" s="1"/>
      <c r="L41" s="11"/>
      <c r="O41" s="11"/>
      <c r="P41" s="23"/>
      <c r="S41" s="20"/>
    </row>
    <row r="42" spans="1:19" x14ac:dyDescent="0.35">
      <c r="A42" s="32"/>
      <c r="B42" s="32"/>
      <c r="C42" s="68" t="s">
        <v>37</v>
      </c>
      <c r="D42" s="11" t="s">
        <v>27</v>
      </c>
      <c r="E42" s="214">
        <v>1.33</v>
      </c>
      <c r="G42" s="109">
        <v>22</v>
      </c>
      <c r="H42" s="12">
        <f>G42*E42</f>
        <v>29.26</v>
      </c>
      <c r="I42" s="47">
        <f>H42/$H$10</f>
        <v>2.5828092243186584E-5</v>
      </c>
      <c r="K42" s="1"/>
      <c r="L42" s="23"/>
      <c r="O42" s="23"/>
      <c r="P42" s="23"/>
      <c r="S42" s="20"/>
    </row>
    <row r="43" spans="1:19" x14ac:dyDescent="0.35">
      <c r="A43" s="32"/>
      <c r="B43" s="32" t="s">
        <v>64</v>
      </c>
      <c r="C43" s="32"/>
      <c r="E43" s="210"/>
      <c r="H43" s="12"/>
      <c r="I43" s="208"/>
      <c r="K43" s="2"/>
      <c r="L43" s="11"/>
      <c r="O43" s="11"/>
      <c r="P43" s="23"/>
      <c r="S43" s="20"/>
    </row>
    <row r="44" spans="1:19" x14ac:dyDescent="0.35">
      <c r="A44" s="32"/>
      <c r="B44" s="32"/>
      <c r="C44" s="68" t="s">
        <v>23</v>
      </c>
      <c r="D44" s="11" t="s">
        <v>27</v>
      </c>
      <c r="E44" s="214">
        <v>4</v>
      </c>
      <c r="G44" s="109">
        <v>25</v>
      </c>
      <c r="H44" s="12">
        <f>G44*E44</f>
        <v>100</v>
      </c>
      <c r="I44" s="47">
        <f>H44/$H$10</f>
        <v>8.8270991945271982E-5</v>
      </c>
      <c r="K44" s="2"/>
      <c r="L44" s="11"/>
      <c r="O44" s="11"/>
      <c r="P44" s="23"/>
      <c r="S44" s="20"/>
    </row>
    <row r="45" spans="1:19" x14ac:dyDescent="0.35">
      <c r="A45" s="32"/>
      <c r="B45" s="32"/>
      <c r="C45" s="68" t="s">
        <v>62</v>
      </c>
      <c r="D45" s="11" t="s">
        <v>27</v>
      </c>
      <c r="E45" s="214">
        <v>12</v>
      </c>
      <c r="G45" s="109">
        <v>50</v>
      </c>
      <c r="H45" s="12">
        <f>G45*E45</f>
        <v>600</v>
      </c>
      <c r="I45" s="47">
        <f>H45/$H$10</f>
        <v>5.2962595167163195E-4</v>
      </c>
      <c r="S45" s="20"/>
    </row>
    <row r="46" spans="1:19" x14ac:dyDescent="0.35">
      <c r="A46" s="32"/>
      <c r="B46" s="32"/>
      <c r="C46" s="68" t="s">
        <v>21</v>
      </c>
      <c r="D46" s="11" t="s">
        <v>27</v>
      </c>
      <c r="E46" s="214">
        <v>5</v>
      </c>
      <c r="G46" s="109">
        <v>13</v>
      </c>
      <c r="H46" s="12">
        <f>G46*E46</f>
        <v>65</v>
      </c>
      <c r="I46" s="47">
        <f>H46/$H$10</f>
        <v>5.7376144764426792E-5</v>
      </c>
      <c r="S46" s="20"/>
    </row>
    <row r="47" spans="1:19" x14ac:dyDescent="0.35">
      <c r="A47" s="32"/>
      <c r="B47" s="32"/>
      <c r="C47" s="68" t="s">
        <v>56</v>
      </c>
      <c r="D47" s="11" t="s">
        <v>27</v>
      </c>
      <c r="E47" s="214">
        <v>2</v>
      </c>
      <c r="G47" s="109">
        <v>42</v>
      </c>
      <c r="H47" s="12">
        <f>G47*E47</f>
        <v>84</v>
      </c>
      <c r="I47" s="47">
        <f>H47/$H$10</f>
        <v>7.4147633234028466E-5</v>
      </c>
      <c r="K47" s="2"/>
      <c r="L47" s="11"/>
      <c r="O47" s="11"/>
      <c r="P47" s="23"/>
    </row>
    <row r="48" spans="1:19" x14ac:dyDescent="0.35">
      <c r="A48" s="32"/>
      <c r="B48" s="32"/>
      <c r="C48" s="68" t="s">
        <v>20</v>
      </c>
      <c r="D48" s="11" t="s">
        <v>28</v>
      </c>
      <c r="E48" s="214">
        <v>0.33</v>
      </c>
      <c r="G48" s="109">
        <v>600</v>
      </c>
      <c r="H48" s="12">
        <f>G48*E48</f>
        <v>198</v>
      </c>
      <c r="I48" s="47">
        <f>H48/$H$10</f>
        <v>1.7477656405163853E-4</v>
      </c>
      <c r="K48" s="2"/>
      <c r="L48" s="11"/>
      <c r="O48" s="11"/>
      <c r="P48" s="23"/>
    </row>
    <row r="49" spans="1:19" x14ac:dyDescent="0.35">
      <c r="A49" s="32"/>
      <c r="B49" s="32" t="s">
        <v>225</v>
      </c>
      <c r="C49" s="68"/>
      <c r="D49" s="23"/>
      <c r="E49" s="216"/>
      <c r="F49" s="17"/>
      <c r="G49" s="206"/>
      <c r="H49" s="12"/>
      <c r="I49" s="47"/>
      <c r="K49" s="2"/>
      <c r="L49" s="23"/>
      <c r="O49" s="23"/>
      <c r="P49" s="23"/>
    </row>
    <row r="50" spans="1:19" x14ac:dyDescent="0.35">
      <c r="A50" s="32"/>
      <c r="B50" s="32"/>
      <c r="C50" t="s">
        <v>169</v>
      </c>
      <c r="D50" s="23" t="s">
        <v>180</v>
      </c>
      <c r="E50" s="214">
        <v>52</v>
      </c>
      <c r="G50" s="121">
        <v>83</v>
      </c>
      <c r="H50" s="12">
        <f t="shared" ref="H50:H60" si="12">G50*E50</f>
        <v>4316</v>
      </c>
      <c r="I50" s="47">
        <f t="shared" ref="I50:I63" si="13">H50/$H$10</f>
        <v>3.8097760123579389E-3</v>
      </c>
      <c r="K50" s="2"/>
      <c r="L50" s="23"/>
      <c r="O50" s="23"/>
      <c r="P50" s="23"/>
    </row>
    <row r="51" spans="1:19" x14ac:dyDescent="0.35">
      <c r="A51" s="32"/>
      <c r="B51" s="32"/>
      <c r="C51" t="s">
        <v>170</v>
      </c>
      <c r="D51" s="23" t="s">
        <v>171</v>
      </c>
      <c r="E51" s="212">
        <v>1013</v>
      </c>
      <c r="G51" s="121">
        <v>4</v>
      </c>
      <c r="H51" s="12">
        <f t="shared" si="12"/>
        <v>4052</v>
      </c>
      <c r="I51" s="47">
        <f t="shared" si="13"/>
        <v>3.5767405936224209E-3</v>
      </c>
      <c r="K51" s="2"/>
      <c r="L51" s="23"/>
      <c r="O51" s="23"/>
      <c r="P51" s="23"/>
    </row>
    <row r="52" spans="1:19" x14ac:dyDescent="0.35">
      <c r="A52" s="32"/>
      <c r="B52" s="32"/>
      <c r="C52" t="s">
        <v>172</v>
      </c>
      <c r="D52" s="23" t="s">
        <v>180</v>
      </c>
      <c r="E52" s="214">
        <v>6</v>
      </c>
      <c r="G52" s="121">
        <v>80</v>
      </c>
      <c r="H52" s="12">
        <f t="shared" si="12"/>
        <v>480</v>
      </c>
      <c r="I52" s="47">
        <f t="shared" si="13"/>
        <v>4.2370076133730554E-4</v>
      </c>
      <c r="K52" s="2"/>
      <c r="L52" s="23"/>
      <c r="O52" s="23"/>
      <c r="P52" s="23"/>
    </row>
    <row r="53" spans="1:19" x14ac:dyDescent="0.35">
      <c r="A53" s="32"/>
      <c r="B53" s="32"/>
      <c r="C53" t="s">
        <v>173</v>
      </c>
      <c r="D53" s="23" t="s">
        <v>180</v>
      </c>
      <c r="E53" s="214">
        <v>13</v>
      </c>
      <c r="G53" s="121">
        <v>40</v>
      </c>
      <c r="H53" s="12">
        <f t="shared" si="12"/>
        <v>520</v>
      </c>
      <c r="I53" s="47">
        <f t="shared" si="13"/>
        <v>4.5900915811541434E-4</v>
      </c>
      <c r="K53" s="2"/>
      <c r="L53" s="23"/>
      <c r="O53" s="23"/>
      <c r="P53" s="23"/>
    </row>
    <row r="54" spans="1:19" x14ac:dyDescent="0.35">
      <c r="A54" s="32"/>
      <c r="B54" s="32"/>
      <c r="C54" s="17" t="s">
        <v>174</v>
      </c>
      <c r="D54" s="23" t="s">
        <v>180</v>
      </c>
      <c r="E54" s="214">
        <v>2</v>
      </c>
      <c r="G54" s="121">
        <v>100</v>
      </c>
      <c r="H54" s="12">
        <f t="shared" si="12"/>
        <v>200</v>
      </c>
      <c r="I54" s="47">
        <f t="shared" si="13"/>
        <v>1.7654198389054396E-4</v>
      </c>
      <c r="K54" s="2"/>
      <c r="L54" s="23"/>
      <c r="O54" s="23"/>
      <c r="P54" s="23"/>
    </row>
    <row r="55" spans="1:19" x14ac:dyDescent="0.35">
      <c r="A55" s="32"/>
      <c r="B55" s="32"/>
      <c r="C55" s="17" t="s">
        <v>175</v>
      </c>
      <c r="D55" s="23" t="s">
        <v>180</v>
      </c>
      <c r="E55" s="214">
        <v>7.5</v>
      </c>
      <c r="G55" s="121">
        <v>48</v>
      </c>
      <c r="H55" s="12">
        <f t="shared" si="12"/>
        <v>360</v>
      </c>
      <c r="I55" s="47">
        <f t="shared" si="13"/>
        <v>3.1777557100297912E-4</v>
      </c>
      <c r="K55" s="2"/>
      <c r="L55" s="23"/>
      <c r="O55" s="23"/>
      <c r="P55" s="23"/>
    </row>
    <row r="56" spans="1:19" x14ac:dyDescent="0.35">
      <c r="A56" s="32"/>
      <c r="B56" s="32"/>
      <c r="C56" s="17" t="s">
        <v>176</v>
      </c>
      <c r="D56" s="23" t="s">
        <v>180</v>
      </c>
      <c r="E56" s="214">
        <v>4</v>
      </c>
      <c r="G56" s="121">
        <v>50</v>
      </c>
      <c r="H56" s="12">
        <f t="shared" si="12"/>
        <v>200</v>
      </c>
      <c r="I56" s="47">
        <f t="shared" si="13"/>
        <v>1.7654198389054396E-4</v>
      </c>
      <c r="K56" s="2"/>
      <c r="L56" s="23"/>
      <c r="O56" s="23"/>
      <c r="P56" s="23"/>
    </row>
    <row r="57" spans="1:19" x14ac:dyDescent="0.35">
      <c r="A57" s="32"/>
      <c r="B57" s="32"/>
      <c r="C57" s="17" t="s">
        <v>177</v>
      </c>
      <c r="D57" s="23" t="s">
        <v>180</v>
      </c>
      <c r="E57" s="214">
        <v>6</v>
      </c>
      <c r="G57" s="121">
        <v>10</v>
      </c>
      <c r="H57" s="12">
        <f t="shared" si="12"/>
        <v>60</v>
      </c>
      <c r="I57" s="47">
        <f t="shared" si="13"/>
        <v>5.2962595167163192E-5</v>
      </c>
      <c r="K57" s="2"/>
      <c r="L57" s="23"/>
      <c r="O57" s="23"/>
      <c r="P57" s="23"/>
    </row>
    <row r="58" spans="1:19" x14ac:dyDescent="0.35">
      <c r="A58" s="32"/>
      <c r="B58" s="32"/>
      <c r="C58" s="17" t="s">
        <v>178</v>
      </c>
      <c r="D58" s="23" t="s">
        <v>180</v>
      </c>
      <c r="E58" s="214">
        <v>1</v>
      </c>
      <c r="G58" s="121">
        <v>220</v>
      </c>
      <c r="H58" s="12">
        <f t="shared" si="12"/>
        <v>220</v>
      </c>
      <c r="I58" s="47">
        <f t="shared" si="13"/>
        <v>1.9419618227959837E-4</v>
      </c>
      <c r="K58" s="2"/>
      <c r="L58" s="23"/>
      <c r="O58" s="23"/>
      <c r="P58" s="23"/>
    </row>
    <row r="59" spans="1:19" x14ac:dyDescent="0.35">
      <c r="A59" s="32"/>
      <c r="B59" s="32"/>
      <c r="C59" s="17" t="s">
        <v>179</v>
      </c>
      <c r="D59" s="23" t="s">
        <v>180</v>
      </c>
      <c r="E59" s="214">
        <v>1</v>
      </c>
      <c r="G59" s="121">
        <v>85</v>
      </c>
      <c r="H59" s="12">
        <f t="shared" si="12"/>
        <v>85</v>
      </c>
      <c r="I59" s="47">
        <f t="shared" si="13"/>
        <v>7.5030343153481181E-5</v>
      </c>
      <c r="K59" s="2"/>
      <c r="L59" s="23"/>
      <c r="O59" s="23"/>
      <c r="P59" s="23"/>
    </row>
    <row r="60" spans="1:19" x14ac:dyDescent="0.35">
      <c r="A60" s="32"/>
      <c r="B60" s="68" t="s">
        <v>216</v>
      </c>
      <c r="D60" s="23" t="s">
        <v>77</v>
      </c>
      <c r="E60" s="214">
        <v>12</v>
      </c>
      <c r="G60" s="121">
        <v>100</v>
      </c>
      <c r="H60" s="12">
        <f t="shared" si="12"/>
        <v>1200</v>
      </c>
      <c r="I60" s="47">
        <f t="shared" si="13"/>
        <v>1.0592519033432639E-3</v>
      </c>
      <c r="K60" s="2"/>
      <c r="L60" s="23"/>
      <c r="O60" s="23"/>
      <c r="P60" s="23"/>
    </row>
    <row r="61" spans="1:19" ht="15.5" customHeight="1" x14ac:dyDescent="0.35">
      <c r="A61" s="32"/>
      <c r="B61" s="115"/>
      <c r="C61" s="123" t="s">
        <v>107</v>
      </c>
      <c r="E61" s="210"/>
      <c r="H61" s="13">
        <f>SUM(H22:H60)</f>
        <v>28658.21</v>
      </c>
      <c r="I61" s="47">
        <f t="shared" si="13"/>
        <v>2.5296886240759129E-2</v>
      </c>
      <c r="K61" s="2"/>
      <c r="L61" s="11"/>
      <c r="O61" s="11"/>
      <c r="P61" s="23"/>
      <c r="Q61" s="11"/>
      <c r="R61" s="23"/>
      <c r="S61" s="11"/>
    </row>
    <row r="62" spans="1:19" x14ac:dyDescent="0.35">
      <c r="A62" s="32"/>
      <c r="B62" s="70" t="s">
        <v>106</v>
      </c>
      <c r="C62" s="70"/>
      <c r="D62" s="98"/>
      <c r="E62" s="217"/>
      <c r="F62" s="98"/>
      <c r="G62" s="29"/>
      <c r="H62" s="184">
        <f>H61+H19+H15+H14</f>
        <v>888388.21</v>
      </c>
      <c r="I62" s="99">
        <f t="shared" si="13"/>
        <v>0.78418908529184594</v>
      </c>
    </row>
    <row r="63" spans="1:19" ht="15" thickBot="1" x14ac:dyDescent="0.4">
      <c r="A63" s="32"/>
      <c r="B63" s="34" t="s">
        <v>97</v>
      </c>
      <c r="C63" s="34"/>
      <c r="D63" s="34"/>
      <c r="E63" s="218"/>
      <c r="F63" s="34"/>
      <c r="G63" s="30"/>
      <c r="H63" s="185">
        <f>H10-H62</f>
        <v>244486.79000000004</v>
      </c>
      <c r="I63" s="31">
        <f t="shared" si="13"/>
        <v>0.21581091470815406</v>
      </c>
    </row>
    <row r="64" spans="1:19" ht="15" thickTop="1" x14ac:dyDescent="0.35">
      <c r="A64" s="32"/>
      <c r="B64" s="70" t="s">
        <v>105</v>
      </c>
      <c r="C64" s="70"/>
      <c r="D64" s="70"/>
      <c r="E64" s="104"/>
      <c r="F64" s="70"/>
      <c r="G64" s="32"/>
      <c r="H64" s="69"/>
      <c r="I64" s="33"/>
      <c r="L64" s="17"/>
      <c r="M64" s="17"/>
      <c r="N64" s="17"/>
      <c r="O64" s="17"/>
      <c r="P64" s="17"/>
    </row>
    <row r="65" spans="1:21" x14ac:dyDescent="0.35">
      <c r="A65" s="32"/>
      <c r="B65" s="32" t="s">
        <v>78</v>
      </c>
      <c r="E65" s="219">
        <v>0.05</v>
      </c>
      <c r="F65" s="245">
        <f>(H62)*0.5</f>
        <v>444194.10499999998</v>
      </c>
      <c r="G65" s="245"/>
      <c r="H65" s="12">
        <f>E65*F65</f>
        <v>22209.705249999999</v>
      </c>
      <c r="I65" s="14">
        <f t="shared" ref="I65:I73" si="14">H65/$H$10</f>
        <v>1.9604727132296149E-2</v>
      </c>
      <c r="L65" s="17"/>
      <c r="M65" s="17"/>
      <c r="N65" s="17"/>
      <c r="O65" s="17"/>
      <c r="P65" s="17"/>
    </row>
    <row r="66" spans="1:21" x14ac:dyDescent="0.35">
      <c r="A66" s="32"/>
      <c r="B66" s="32" t="s">
        <v>75</v>
      </c>
      <c r="D66" t="s">
        <v>76</v>
      </c>
      <c r="E66" s="219">
        <v>0.01</v>
      </c>
      <c r="F66" s="245">
        <f>'Initial Costs'!F34</f>
        <v>1425219.98</v>
      </c>
      <c r="G66" s="245"/>
      <c r="H66" s="12">
        <f>E66*F66</f>
        <v>14252.1998</v>
      </c>
      <c r="I66" s="14">
        <f t="shared" si="14"/>
        <v>1.2580558137482069E-2</v>
      </c>
      <c r="L66" s="17"/>
      <c r="M66" s="17"/>
      <c r="N66" s="17"/>
      <c r="O66" s="17"/>
      <c r="P66" s="17"/>
    </row>
    <row r="67" spans="1:21" x14ac:dyDescent="0.35">
      <c r="A67" s="32"/>
      <c r="B67" s="32" t="s">
        <v>92</v>
      </c>
      <c r="D67" t="s">
        <v>76</v>
      </c>
      <c r="E67" s="219">
        <v>0.01</v>
      </c>
      <c r="F67" s="245">
        <f>'Initial Costs'!F34</f>
        <v>1425219.98</v>
      </c>
      <c r="G67" s="245"/>
      <c r="H67" s="12">
        <f>E67*F67</f>
        <v>14252.1998</v>
      </c>
      <c r="I67" s="14">
        <f t="shared" si="14"/>
        <v>1.2580558137482069E-2</v>
      </c>
      <c r="K67" s="2"/>
      <c r="L67" s="17"/>
      <c r="M67" s="17"/>
      <c r="N67" s="17"/>
      <c r="O67" s="17"/>
      <c r="P67" s="17"/>
      <c r="Q67" s="11"/>
      <c r="R67" s="23"/>
      <c r="S67" s="11"/>
    </row>
    <row r="68" spans="1:21" x14ac:dyDescent="0.35">
      <c r="A68" s="32"/>
      <c r="B68" s="105" t="s">
        <v>91</v>
      </c>
      <c r="C68" s="17"/>
      <c r="D68" s="17"/>
      <c r="H68" s="199">
        <v>6000</v>
      </c>
      <c r="I68" s="14">
        <f t="shared" si="14"/>
        <v>5.2962595167163192E-3</v>
      </c>
      <c r="M68" s="17"/>
      <c r="N68" s="17"/>
      <c r="O68" s="17"/>
      <c r="P68" s="17"/>
    </row>
    <row r="69" spans="1:21" x14ac:dyDescent="0.35">
      <c r="A69" s="32"/>
      <c r="B69" s="105" t="s">
        <v>81</v>
      </c>
      <c r="C69" s="17"/>
      <c r="D69" s="17"/>
      <c r="H69" s="26">
        <v>4000</v>
      </c>
      <c r="I69" s="14">
        <f t="shared" si="14"/>
        <v>3.5308396778108795E-3</v>
      </c>
      <c r="M69" s="17"/>
      <c r="N69" s="17"/>
      <c r="O69" s="17"/>
      <c r="P69" s="183"/>
    </row>
    <row r="70" spans="1:21" x14ac:dyDescent="0.35">
      <c r="A70" s="32"/>
      <c r="B70" s="105" t="s">
        <v>100</v>
      </c>
      <c r="H70" s="26">
        <v>8400</v>
      </c>
      <c r="I70" s="14">
        <f t="shared" si="14"/>
        <v>7.4147633234028466E-3</v>
      </c>
      <c r="M70" s="17"/>
      <c r="N70" s="17"/>
      <c r="O70" s="17"/>
      <c r="P70" s="183"/>
    </row>
    <row r="71" spans="1:21" x14ac:dyDescent="0.35">
      <c r="A71" s="32"/>
      <c r="B71" s="32" t="s">
        <v>43</v>
      </c>
      <c r="H71" s="28">
        <f>'Initial Costs'!H34</f>
        <v>59153.995999999999</v>
      </c>
      <c r="I71" s="14">
        <f t="shared" si="14"/>
        <v>5.221581904446651E-2</v>
      </c>
      <c r="M71" s="17"/>
      <c r="N71" s="17"/>
      <c r="O71" s="17"/>
      <c r="P71" s="183"/>
    </row>
    <row r="72" spans="1:21" x14ac:dyDescent="0.35">
      <c r="A72" s="32"/>
      <c r="B72" s="100" t="s">
        <v>80</v>
      </c>
      <c r="C72" s="100"/>
      <c r="D72" s="100"/>
      <c r="E72" s="100"/>
      <c r="F72" s="100"/>
      <c r="G72" s="100"/>
      <c r="H72" s="102">
        <f>SUM(H65:H71)</f>
        <v>128268.10085</v>
      </c>
      <c r="I72" s="89">
        <f t="shared" si="14"/>
        <v>0.11322352496965685</v>
      </c>
      <c r="M72" s="17"/>
      <c r="N72" s="17"/>
      <c r="O72" s="17"/>
      <c r="P72" s="183"/>
    </row>
    <row r="73" spans="1:21" ht="15" thickBot="1" x14ac:dyDescent="0.4">
      <c r="A73" s="32"/>
      <c r="B73" s="34" t="s">
        <v>112</v>
      </c>
      <c r="C73" s="34"/>
      <c r="D73" s="107"/>
      <c r="E73" s="107"/>
      <c r="F73" s="107"/>
      <c r="G73" s="107"/>
      <c r="H73" s="76">
        <f>H63-H72</f>
        <v>116218.68915000003</v>
      </c>
      <c r="I73" s="108">
        <f t="shared" si="14"/>
        <v>0.10258738973849722</v>
      </c>
      <c r="K73" s="257"/>
      <c r="M73" s="17"/>
      <c r="N73" s="17"/>
      <c r="O73" s="17"/>
      <c r="P73" s="183"/>
      <c r="U73" s="1"/>
    </row>
    <row r="74" spans="1:21" ht="15" thickTop="1" x14ac:dyDescent="0.35">
      <c r="A74" s="32"/>
      <c r="B74" s="68" t="s">
        <v>96</v>
      </c>
      <c r="C74" s="32"/>
      <c r="D74" t="s">
        <v>76</v>
      </c>
      <c r="E74" s="110">
        <f>0.15+0.2</f>
        <v>0.35</v>
      </c>
      <c r="H74" s="15">
        <f>H73*E74</f>
        <v>40676.541202500011</v>
      </c>
      <c r="I74" s="47">
        <f t="shared" ref="I74:I75" si="15">H74/$H$10</f>
        <v>3.5905586408474029E-2</v>
      </c>
      <c r="L74" s="204"/>
      <c r="M74" s="17"/>
      <c r="N74" s="17"/>
      <c r="O74" s="17"/>
      <c r="P74" s="17"/>
      <c r="U74" s="1"/>
    </row>
    <row r="75" spans="1:21" ht="15" thickBot="1" x14ac:dyDescent="0.4">
      <c r="A75" s="32"/>
      <c r="B75" s="122" t="s">
        <v>103</v>
      </c>
      <c r="C75" s="34"/>
      <c r="D75" s="34"/>
      <c r="E75" s="34"/>
      <c r="F75" s="34"/>
      <c r="G75" s="34"/>
      <c r="H75" s="75">
        <f>H73-H74</f>
        <v>75542.147947500023</v>
      </c>
      <c r="I75" s="106">
        <f t="shared" si="15"/>
        <v>6.6681803330023187E-2</v>
      </c>
      <c r="L75" s="17"/>
      <c r="M75" s="17"/>
      <c r="N75" s="17"/>
      <c r="O75" s="17"/>
      <c r="P75" s="17"/>
      <c r="U75" s="1"/>
    </row>
    <row r="76" spans="1:21" ht="15" thickTop="1" x14ac:dyDescent="0.35">
      <c r="A76" s="32"/>
      <c r="U76" s="1"/>
    </row>
    <row r="77" spans="1:21" x14ac:dyDescent="0.35">
      <c r="A77" s="32"/>
      <c r="C77" s="8"/>
      <c r="D77" s="8"/>
      <c r="U77" s="1"/>
    </row>
    <row r="78" spans="1:21" x14ac:dyDescent="0.35">
      <c r="B78" s="39"/>
      <c r="C78" s="39"/>
      <c r="D78" s="39"/>
      <c r="E78" s="39"/>
      <c r="U78" s="1"/>
    </row>
    <row r="79" spans="1:21" x14ac:dyDescent="0.35">
      <c r="B79" s="39"/>
      <c r="C79" s="39"/>
      <c r="D79" s="39"/>
      <c r="E79" s="39"/>
      <c r="U79" s="1"/>
    </row>
    <row r="80" spans="1:21" x14ac:dyDescent="0.35">
      <c r="B80" s="39"/>
      <c r="C80" s="39"/>
      <c r="D80" s="39"/>
      <c r="E80" s="39"/>
      <c r="U80" s="1"/>
    </row>
    <row r="81" spans="2:21" x14ac:dyDescent="0.35">
      <c r="B81" s="39"/>
      <c r="C81" s="39"/>
      <c r="D81" s="39"/>
      <c r="E81" s="39"/>
      <c r="U81" s="1"/>
    </row>
    <row r="82" spans="2:21" x14ac:dyDescent="0.35">
      <c r="C82" s="39"/>
      <c r="D82" s="8"/>
      <c r="U82" s="1"/>
    </row>
    <row r="83" spans="2:21" x14ac:dyDescent="0.35">
      <c r="C83" s="71"/>
      <c r="D83" s="39"/>
      <c r="U83" s="1"/>
    </row>
    <row r="84" spans="2:21" x14ac:dyDescent="0.35">
      <c r="C84" s="71"/>
      <c r="U84" s="1"/>
    </row>
    <row r="85" spans="2:21" x14ac:dyDescent="0.35">
      <c r="E85" s="17"/>
    </row>
    <row r="86" spans="2:21" x14ac:dyDescent="0.35">
      <c r="E86" s="17"/>
    </row>
    <row r="87" spans="2:21" x14ac:dyDescent="0.35">
      <c r="E87" s="17"/>
    </row>
    <row r="88" spans="2:21" x14ac:dyDescent="0.35">
      <c r="E88" s="17"/>
    </row>
    <row r="89" spans="2:21" x14ac:dyDescent="0.35">
      <c r="E89" s="17"/>
    </row>
    <row r="90" spans="2:21" x14ac:dyDescent="0.35">
      <c r="E90" s="204"/>
    </row>
    <row r="91" spans="2:21" x14ac:dyDescent="0.35">
      <c r="C91" s="207"/>
    </row>
    <row r="93" spans="2:21" x14ac:dyDescent="0.35">
      <c r="C93" s="71"/>
    </row>
    <row r="94" spans="2:21" x14ac:dyDescent="0.35">
      <c r="C94" s="71"/>
    </row>
    <row r="95" spans="2:21" x14ac:dyDescent="0.35">
      <c r="C95" s="8"/>
    </row>
    <row r="96" spans="2:21" x14ac:dyDescent="0.35">
      <c r="C96" s="62"/>
    </row>
  </sheetData>
  <mergeCells count="5">
    <mergeCell ref="O1:P1"/>
    <mergeCell ref="R1:S1"/>
    <mergeCell ref="F65:G65"/>
    <mergeCell ref="F66:G66"/>
    <mergeCell ref="F67:G67"/>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E41B-4937-43B9-A91A-AFB3125FBE28}">
  <dimension ref="A1:J42"/>
  <sheetViews>
    <sheetView topLeftCell="A20" zoomScale="150" zoomScaleNormal="150" workbookViewId="0">
      <selection activeCell="C40" sqref="C40"/>
    </sheetView>
  </sheetViews>
  <sheetFormatPr defaultRowHeight="14.5" x14ac:dyDescent="0.35"/>
  <cols>
    <col min="1" max="1" width="3.08984375" customWidth="1"/>
    <col min="2" max="2" width="18.54296875" customWidth="1"/>
    <col min="3" max="3" width="12.08984375" bestFit="1" customWidth="1"/>
    <col min="4" max="4" width="9.54296875" bestFit="1" customWidth="1"/>
    <col min="5" max="5" width="10.1796875" customWidth="1"/>
    <col min="6" max="6" width="11.6328125" customWidth="1"/>
    <col min="7" max="7" width="5.54296875" customWidth="1"/>
    <col min="8" max="8" width="10.81640625" customWidth="1"/>
    <col min="14" max="14" width="10.08984375" bestFit="1" customWidth="1"/>
  </cols>
  <sheetData>
    <row r="1" spans="1:8" x14ac:dyDescent="0.35">
      <c r="A1" t="s">
        <v>40</v>
      </c>
    </row>
    <row r="4" spans="1:8" x14ac:dyDescent="0.35">
      <c r="A4" s="115"/>
      <c r="B4" s="101"/>
      <c r="C4" s="100" t="s">
        <v>52</v>
      </c>
      <c r="D4" s="100" t="s">
        <v>38</v>
      </c>
      <c r="E4" s="100" t="s">
        <v>113</v>
      </c>
      <c r="F4" s="100" t="s">
        <v>42</v>
      </c>
      <c r="G4" s="100" t="s">
        <v>41</v>
      </c>
      <c r="H4" s="100" t="s">
        <v>43</v>
      </c>
    </row>
    <row r="5" spans="1:8" x14ac:dyDescent="0.35">
      <c r="A5" t="s">
        <v>203</v>
      </c>
      <c r="B5" s="32"/>
      <c r="C5" s="70"/>
      <c r="D5" s="70"/>
      <c r="E5" s="70"/>
      <c r="F5" s="70"/>
      <c r="G5" s="70"/>
      <c r="H5" s="70"/>
    </row>
    <row r="6" spans="1:8" x14ac:dyDescent="0.35">
      <c r="B6" t="s">
        <v>181</v>
      </c>
      <c r="C6" t="s">
        <v>182</v>
      </c>
      <c r="D6" s="25">
        <f>40*40</f>
        <v>1600</v>
      </c>
      <c r="E6" s="26">
        <v>400</v>
      </c>
      <c r="F6" s="12">
        <f t="shared" ref="F6:F19" si="0">D6*E6</f>
        <v>640000</v>
      </c>
      <c r="G6" s="25">
        <v>30</v>
      </c>
      <c r="H6" s="12">
        <f>IF(F6&gt;0,IF(G6&gt;0,F6/G6,0),0)</f>
        <v>21333.333333333332</v>
      </c>
    </row>
    <row r="7" spans="1:8" x14ac:dyDescent="0.35">
      <c r="B7" s="17" t="s">
        <v>211</v>
      </c>
      <c r="C7" s="17" t="s">
        <v>182</v>
      </c>
      <c r="D7" s="25">
        <f>48*20</f>
        <v>960</v>
      </c>
      <c r="E7" s="26">
        <v>12.5</v>
      </c>
      <c r="F7" s="187">
        <f t="shared" si="0"/>
        <v>12000</v>
      </c>
      <c r="G7" s="25">
        <v>30</v>
      </c>
      <c r="H7" s="12">
        <f t="shared" ref="H7:H33" si="1">IF(F7&gt;0,IF(G7&gt;0,F7/G7,0),0)</f>
        <v>400</v>
      </c>
    </row>
    <row r="8" spans="1:8" x14ac:dyDescent="0.35">
      <c r="B8" s="17" t="s">
        <v>188</v>
      </c>
      <c r="C8" s="17"/>
      <c r="D8" s="25">
        <v>1</v>
      </c>
      <c r="E8" s="26">
        <v>19600</v>
      </c>
      <c r="F8" s="187">
        <f t="shared" si="0"/>
        <v>19600</v>
      </c>
      <c r="G8" s="25">
        <v>15</v>
      </c>
      <c r="H8" s="12">
        <f t="shared" si="1"/>
        <v>1306.6666666666667</v>
      </c>
    </row>
    <row r="9" spans="1:8" x14ac:dyDescent="0.35">
      <c r="B9" s="17" t="s">
        <v>189</v>
      </c>
      <c r="C9" s="17"/>
      <c r="D9" s="25">
        <v>1</v>
      </c>
      <c r="E9" s="26">
        <v>14700</v>
      </c>
      <c r="F9" s="187">
        <f t="shared" si="0"/>
        <v>14700</v>
      </c>
      <c r="G9" s="25">
        <v>15</v>
      </c>
      <c r="H9" s="12">
        <f t="shared" si="1"/>
        <v>980</v>
      </c>
    </row>
    <row r="10" spans="1:8" x14ac:dyDescent="0.35">
      <c r="B10" s="17" t="s">
        <v>190</v>
      </c>
      <c r="C10" s="17" t="s">
        <v>27</v>
      </c>
      <c r="D10" s="25">
        <v>2</v>
      </c>
      <c r="E10" s="26">
        <v>1600</v>
      </c>
      <c r="F10" s="187">
        <f t="shared" si="0"/>
        <v>3200</v>
      </c>
      <c r="G10" s="25">
        <v>10</v>
      </c>
      <c r="H10" s="12">
        <f t="shared" si="1"/>
        <v>320</v>
      </c>
    </row>
    <row r="11" spans="1:8" x14ac:dyDescent="0.35">
      <c r="B11" s="17" t="s">
        <v>193</v>
      </c>
      <c r="C11" s="17"/>
      <c r="D11" s="25">
        <v>2</v>
      </c>
      <c r="E11" s="26">
        <v>2500</v>
      </c>
      <c r="F11" s="187">
        <f t="shared" si="0"/>
        <v>5000</v>
      </c>
      <c r="G11" s="25">
        <v>10</v>
      </c>
      <c r="H11" s="12">
        <f t="shared" si="1"/>
        <v>500</v>
      </c>
    </row>
    <row r="12" spans="1:8" x14ac:dyDescent="0.35">
      <c r="B12" t="s">
        <v>198</v>
      </c>
      <c r="C12" t="s">
        <v>180</v>
      </c>
      <c r="D12" s="25">
        <v>1</v>
      </c>
      <c r="E12" s="26">
        <v>5000</v>
      </c>
      <c r="F12" s="12">
        <f t="shared" si="0"/>
        <v>5000</v>
      </c>
      <c r="G12" s="25">
        <v>5</v>
      </c>
      <c r="H12" s="12">
        <f t="shared" si="1"/>
        <v>1000</v>
      </c>
    </row>
    <row r="13" spans="1:8" x14ac:dyDescent="0.35">
      <c r="B13" t="s">
        <v>212</v>
      </c>
      <c r="D13" s="25">
        <v>2</v>
      </c>
      <c r="E13" s="26">
        <v>2699.99</v>
      </c>
      <c r="F13" s="12">
        <f t="shared" si="0"/>
        <v>5399.98</v>
      </c>
      <c r="G13" s="25">
        <v>5</v>
      </c>
      <c r="H13" s="12">
        <f t="shared" si="1"/>
        <v>1079.9959999999999</v>
      </c>
    </row>
    <row r="14" spans="1:8" x14ac:dyDescent="0.35">
      <c r="B14" t="s">
        <v>200</v>
      </c>
      <c r="D14" s="25">
        <v>1</v>
      </c>
      <c r="E14" s="26">
        <v>6500</v>
      </c>
      <c r="F14" s="12">
        <f t="shared" si="0"/>
        <v>6500</v>
      </c>
      <c r="G14" s="25">
        <v>5</v>
      </c>
      <c r="H14" s="12">
        <f t="shared" si="1"/>
        <v>1300</v>
      </c>
    </row>
    <row r="15" spans="1:8" x14ac:dyDescent="0.35">
      <c r="B15" s="17" t="s">
        <v>201</v>
      </c>
      <c r="C15" s="17"/>
      <c r="D15" s="25">
        <v>1</v>
      </c>
      <c r="E15" s="26">
        <v>1220</v>
      </c>
      <c r="F15" s="187">
        <f t="shared" si="0"/>
        <v>1220</v>
      </c>
      <c r="G15" s="25">
        <v>5</v>
      </c>
      <c r="H15" s="12">
        <f t="shared" si="1"/>
        <v>244</v>
      </c>
    </row>
    <row r="16" spans="1:8" x14ac:dyDescent="0.35">
      <c r="B16" s="25"/>
      <c r="C16" s="17"/>
      <c r="D16" s="25"/>
      <c r="E16" s="26"/>
      <c r="F16" s="187">
        <f t="shared" si="0"/>
        <v>0</v>
      </c>
      <c r="G16" s="25"/>
      <c r="H16" s="12">
        <f t="shared" si="1"/>
        <v>0</v>
      </c>
    </row>
    <row r="17" spans="1:10" x14ac:dyDescent="0.35">
      <c r="B17" s="25"/>
      <c r="C17" s="17"/>
      <c r="D17" s="25"/>
      <c r="E17" s="26"/>
      <c r="F17" s="187">
        <f t="shared" si="0"/>
        <v>0</v>
      </c>
      <c r="G17" s="25"/>
      <c r="H17" s="12">
        <f t="shared" si="1"/>
        <v>0</v>
      </c>
    </row>
    <row r="18" spans="1:10" x14ac:dyDescent="0.35">
      <c r="B18" s="25"/>
      <c r="C18" s="17"/>
      <c r="D18" s="25"/>
      <c r="E18" s="26"/>
      <c r="F18" s="187">
        <f t="shared" si="0"/>
        <v>0</v>
      </c>
      <c r="G18" s="25"/>
      <c r="H18" s="12">
        <f t="shared" si="1"/>
        <v>0</v>
      </c>
    </row>
    <row r="19" spans="1:10" x14ac:dyDescent="0.35">
      <c r="B19" s="25"/>
      <c r="C19" s="17"/>
      <c r="D19" s="25"/>
      <c r="E19" s="26"/>
      <c r="F19" s="187">
        <f t="shared" si="0"/>
        <v>0</v>
      </c>
      <c r="G19" s="25"/>
      <c r="H19" s="12">
        <f t="shared" si="1"/>
        <v>0</v>
      </c>
    </row>
    <row r="20" spans="1:10" x14ac:dyDescent="0.35">
      <c r="A20" t="s">
        <v>202</v>
      </c>
      <c r="B20" s="32"/>
      <c r="C20" s="70"/>
      <c r="D20" s="70"/>
      <c r="E20" s="83"/>
      <c r="F20" s="83"/>
      <c r="G20" s="70"/>
      <c r="H20" s="12"/>
    </row>
    <row r="21" spans="1:10" x14ac:dyDescent="0.35">
      <c r="B21" s="17" t="s">
        <v>0</v>
      </c>
      <c r="C21" s="60" t="s">
        <v>26</v>
      </c>
      <c r="D21" s="195">
        <v>1600</v>
      </c>
      <c r="E21" s="198">
        <v>375</v>
      </c>
      <c r="F21" s="187">
        <f t="shared" ref="F21:F27" si="2">E21*D21</f>
        <v>600000</v>
      </c>
      <c r="G21" s="25">
        <v>30</v>
      </c>
      <c r="H21" s="12">
        <f t="shared" si="1"/>
        <v>20000</v>
      </c>
    </row>
    <row r="22" spans="1:10" x14ac:dyDescent="0.35">
      <c r="B22" s="17" t="s">
        <v>22</v>
      </c>
      <c r="C22" s="60" t="s">
        <v>29</v>
      </c>
      <c r="D22" s="195">
        <v>200</v>
      </c>
      <c r="E22" s="198">
        <v>57</v>
      </c>
      <c r="F22" s="187">
        <f t="shared" si="2"/>
        <v>11400</v>
      </c>
      <c r="G22" s="25">
        <v>20</v>
      </c>
      <c r="H22" s="12">
        <f t="shared" si="1"/>
        <v>570</v>
      </c>
    </row>
    <row r="23" spans="1:10" x14ac:dyDescent="0.35">
      <c r="B23" s="17" t="s">
        <v>2</v>
      </c>
      <c r="C23" s="60" t="s">
        <v>28</v>
      </c>
      <c r="D23" s="195">
        <v>1</v>
      </c>
      <c r="E23" s="198">
        <v>9000</v>
      </c>
      <c r="F23" s="187">
        <f t="shared" si="2"/>
        <v>9000</v>
      </c>
      <c r="G23" s="25">
        <v>10</v>
      </c>
      <c r="H23" s="12">
        <f t="shared" si="1"/>
        <v>900</v>
      </c>
    </row>
    <row r="24" spans="1:10" x14ac:dyDescent="0.35">
      <c r="B24" s="17" t="s">
        <v>3</v>
      </c>
      <c r="C24" s="60" t="s">
        <v>28</v>
      </c>
      <c r="D24" s="195">
        <v>1</v>
      </c>
      <c r="E24" s="198">
        <v>4000</v>
      </c>
      <c r="F24" s="187">
        <f t="shared" si="2"/>
        <v>4000</v>
      </c>
      <c r="G24" s="25">
        <v>10</v>
      </c>
      <c r="H24" s="12">
        <f t="shared" si="1"/>
        <v>400</v>
      </c>
    </row>
    <row r="25" spans="1:10" x14ac:dyDescent="0.35">
      <c r="B25" s="17" t="s">
        <v>35</v>
      </c>
      <c r="C25" s="60" t="s">
        <v>28</v>
      </c>
      <c r="D25" s="195">
        <v>2</v>
      </c>
      <c r="E25" s="26">
        <v>9800</v>
      </c>
      <c r="F25" s="187">
        <f t="shared" si="2"/>
        <v>19600</v>
      </c>
      <c r="G25" s="25">
        <v>10</v>
      </c>
      <c r="H25" s="12">
        <f t="shared" si="1"/>
        <v>1960</v>
      </c>
      <c r="I25" s="7"/>
      <c r="J25" s="7"/>
    </row>
    <row r="26" spans="1:10" x14ac:dyDescent="0.35">
      <c r="B26" s="181" t="s">
        <v>66</v>
      </c>
      <c r="C26" s="182" t="s">
        <v>28</v>
      </c>
      <c r="D26" s="196">
        <v>2</v>
      </c>
      <c r="E26" s="199">
        <f>10800</f>
        <v>10800</v>
      </c>
      <c r="F26" s="188">
        <f t="shared" si="2"/>
        <v>21600</v>
      </c>
      <c r="G26" s="201">
        <v>10</v>
      </c>
      <c r="H26" s="12">
        <f t="shared" si="1"/>
        <v>2160</v>
      </c>
      <c r="I26" s="7"/>
      <c r="J26" s="7"/>
    </row>
    <row r="27" spans="1:10" x14ac:dyDescent="0.35">
      <c r="B27" s="181" t="s">
        <v>67</v>
      </c>
      <c r="C27" s="182" t="s">
        <v>28</v>
      </c>
      <c r="D27" s="196">
        <v>1</v>
      </c>
      <c r="E27" s="199">
        <v>30000</v>
      </c>
      <c r="F27" s="188">
        <f t="shared" si="2"/>
        <v>30000</v>
      </c>
      <c r="G27" s="201">
        <v>10</v>
      </c>
      <c r="H27" s="12">
        <f t="shared" si="1"/>
        <v>3000</v>
      </c>
      <c r="I27" s="7"/>
      <c r="J27" s="7"/>
    </row>
    <row r="28" spans="1:10" x14ac:dyDescent="0.35">
      <c r="B28" s="68" t="s">
        <v>18</v>
      </c>
      <c r="C28" s="239" t="s">
        <v>28</v>
      </c>
      <c r="D28" s="240">
        <v>1</v>
      </c>
      <c r="E28" s="241">
        <v>17000</v>
      </c>
      <c r="F28" s="242">
        <f t="shared" ref="F28:F33" si="3">E28*D28</f>
        <v>17000</v>
      </c>
      <c r="G28" s="243">
        <v>10</v>
      </c>
      <c r="H28" s="12">
        <f t="shared" si="1"/>
        <v>1700</v>
      </c>
      <c r="I28" s="23"/>
      <c r="J28" s="23"/>
    </row>
    <row r="29" spans="1:10" x14ac:dyDescent="0.35">
      <c r="B29" s="201"/>
      <c r="C29" s="239" t="s">
        <v>28</v>
      </c>
      <c r="D29" s="196"/>
      <c r="E29" s="199"/>
      <c r="F29" s="242">
        <f t="shared" si="3"/>
        <v>0</v>
      </c>
      <c r="G29" s="201"/>
      <c r="H29" s="12">
        <f t="shared" si="1"/>
        <v>0</v>
      </c>
      <c r="I29" s="23"/>
      <c r="J29" s="23"/>
    </row>
    <row r="30" spans="1:10" x14ac:dyDescent="0.35">
      <c r="B30" s="201"/>
      <c r="C30" s="239" t="s">
        <v>28</v>
      </c>
      <c r="D30" s="196"/>
      <c r="E30" s="199"/>
      <c r="F30" s="242">
        <f t="shared" si="3"/>
        <v>0</v>
      </c>
      <c r="G30" s="201"/>
      <c r="H30" s="12">
        <f t="shared" si="1"/>
        <v>0</v>
      </c>
      <c r="I30" s="23"/>
      <c r="J30" s="23"/>
    </row>
    <row r="31" spans="1:10" x14ac:dyDescent="0.35">
      <c r="B31" s="201"/>
      <c r="C31" s="239" t="s">
        <v>28</v>
      </c>
      <c r="D31" s="196"/>
      <c r="E31" s="199"/>
      <c r="F31" s="242">
        <f t="shared" si="3"/>
        <v>0</v>
      </c>
      <c r="G31" s="201"/>
      <c r="H31" s="12">
        <f t="shared" si="1"/>
        <v>0</v>
      </c>
      <c r="I31" s="23"/>
      <c r="J31" s="23"/>
    </row>
    <row r="32" spans="1:10" x14ac:dyDescent="0.35">
      <c r="B32" s="201"/>
      <c r="C32" s="239" t="s">
        <v>28</v>
      </c>
      <c r="D32" s="196"/>
      <c r="E32" s="199"/>
      <c r="F32" s="242">
        <f t="shared" si="3"/>
        <v>0</v>
      </c>
      <c r="G32" s="201"/>
      <c r="H32" s="12">
        <f t="shared" si="1"/>
        <v>0</v>
      </c>
      <c r="I32" s="23"/>
      <c r="J32" s="23"/>
    </row>
    <row r="33" spans="2:10" x14ac:dyDescent="0.35">
      <c r="B33" s="202"/>
      <c r="C33" s="124" t="s">
        <v>28</v>
      </c>
      <c r="D33" s="197"/>
      <c r="E33" s="200"/>
      <c r="F33" s="242">
        <f t="shared" si="3"/>
        <v>0</v>
      </c>
      <c r="G33" s="202"/>
      <c r="H33" s="12">
        <f t="shared" si="1"/>
        <v>0</v>
      </c>
      <c r="I33" s="7"/>
      <c r="J33" s="7"/>
    </row>
    <row r="34" spans="2:10" ht="15" thickBot="1" x14ac:dyDescent="0.4">
      <c r="B34" s="17"/>
      <c r="C34" s="17"/>
      <c r="D34" s="17"/>
      <c r="E34" s="17"/>
      <c r="F34" s="189">
        <f>SUM(F6:F33)</f>
        <v>1425219.98</v>
      </c>
      <c r="G34" s="17"/>
      <c r="H34" s="189">
        <f>SUM(H6:H33)</f>
        <v>59153.995999999999</v>
      </c>
      <c r="I34" s="7"/>
      <c r="J34" s="7"/>
    </row>
    <row r="35" spans="2:10" ht="15" thickTop="1" x14ac:dyDescent="0.35">
      <c r="B35" s="17"/>
      <c r="I35" s="7"/>
      <c r="J35" s="7"/>
    </row>
    <row r="36" spans="2:10" x14ac:dyDescent="0.35">
      <c r="B36" s="17" t="s">
        <v>217</v>
      </c>
      <c r="C36" t="s">
        <v>218</v>
      </c>
      <c r="D36" s="15">
        <f>SUM(F8:F15)+SUM(F23:F33)</f>
        <v>161819.97999999998</v>
      </c>
      <c r="I36" s="7"/>
      <c r="J36" s="7"/>
    </row>
    <row r="37" spans="2:10" x14ac:dyDescent="0.35">
      <c r="B37" s="17" t="s">
        <v>217</v>
      </c>
      <c r="C37" t="s">
        <v>219</v>
      </c>
      <c r="D37" s="15">
        <f>F22</f>
        <v>11400</v>
      </c>
      <c r="I37" s="7"/>
      <c r="J37" s="6"/>
    </row>
    <row r="38" spans="2:10" x14ac:dyDescent="0.35">
      <c r="I38" s="7"/>
      <c r="J38" s="7"/>
    </row>
    <row r="39" spans="2:10" ht="15.5" x14ac:dyDescent="0.35">
      <c r="B39" s="132" t="s">
        <v>132</v>
      </c>
      <c r="C39" s="172">
        <f>F27</f>
        <v>30000</v>
      </c>
      <c r="I39" s="7"/>
      <c r="J39" s="6"/>
    </row>
    <row r="40" spans="2:10" ht="15.5" x14ac:dyDescent="0.35">
      <c r="B40" s="132" t="s">
        <v>135</v>
      </c>
      <c r="C40" s="172">
        <f>F34-C41</f>
        <v>185219.97999999998</v>
      </c>
      <c r="I40" s="18"/>
      <c r="J40" s="6"/>
    </row>
    <row r="41" spans="2:10" ht="15.5" x14ac:dyDescent="0.35">
      <c r="B41" s="132" t="s">
        <v>139</v>
      </c>
      <c r="C41" s="178">
        <f>F21+F6</f>
        <v>1240000</v>
      </c>
      <c r="I41" s="18"/>
      <c r="J41" s="6"/>
    </row>
    <row r="42" spans="2:10" x14ac:dyDescent="0.35">
      <c r="I42" s="7"/>
      <c r="J42"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1C8A0-C150-4F84-94ED-06799C0511F4}">
  <dimension ref="A2:G48"/>
  <sheetViews>
    <sheetView topLeftCell="A4" zoomScale="118" zoomScaleNormal="118" workbookViewId="0">
      <selection activeCell="I31" sqref="I31"/>
    </sheetView>
  </sheetViews>
  <sheetFormatPr defaultRowHeight="14.5" x14ac:dyDescent="0.35"/>
  <cols>
    <col min="1" max="1" width="22.90625" customWidth="1"/>
    <col min="2" max="2" width="10.81640625" customWidth="1"/>
    <col min="5" max="5" width="10.7265625" customWidth="1"/>
    <col min="6" max="6" width="6.36328125" customWidth="1"/>
    <col min="7" max="7" width="10.6328125" customWidth="1"/>
  </cols>
  <sheetData>
    <row r="2" spans="1:7" x14ac:dyDescent="0.35">
      <c r="A2" s="100" t="s">
        <v>207</v>
      </c>
      <c r="B2" s="100" t="s">
        <v>52</v>
      </c>
      <c r="C2" s="100" t="s">
        <v>38</v>
      </c>
      <c r="D2" s="100" t="s">
        <v>113</v>
      </c>
      <c r="E2" s="100" t="s">
        <v>42</v>
      </c>
      <c r="F2" s="100" t="s">
        <v>41</v>
      </c>
      <c r="G2" s="100" t="s">
        <v>206</v>
      </c>
    </row>
    <row r="3" spans="1:7" x14ac:dyDescent="0.35">
      <c r="A3" s="17" t="s">
        <v>199</v>
      </c>
      <c r="B3" s="17"/>
      <c r="C3" s="195">
        <v>2</v>
      </c>
      <c r="D3" s="26">
        <v>119.99</v>
      </c>
      <c r="E3" s="187">
        <f>C3*D3</f>
        <v>239.98</v>
      </c>
      <c r="F3" s="25">
        <v>5</v>
      </c>
      <c r="G3" s="187">
        <f>IF(E3&gt;0,IF(F3&gt;0,E3/F3,0),0)</f>
        <v>47.995999999999995</v>
      </c>
    </row>
    <row r="4" spans="1:7" x14ac:dyDescent="0.35">
      <c r="A4" s="17" t="s">
        <v>36</v>
      </c>
      <c r="B4" s="60" t="s">
        <v>27</v>
      </c>
      <c r="C4" s="195">
        <v>45</v>
      </c>
      <c r="D4" s="26">
        <v>15</v>
      </c>
      <c r="E4" s="187">
        <f>D4*C4</f>
        <v>675</v>
      </c>
      <c r="F4" s="25">
        <v>30</v>
      </c>
      <c r="G4" s="187">
        <f t="shared" ref="G4:G32" si="0">IF(E4&gt;0,IF(F4&gt;0,E4/F4,0),0)</f>
        <v>22.5</v>
      </c>
    </row>
    <row r="5" spans="1:7" x14ac:dyDescent="0.35">
      <c r="A5" s="17" t="s">
        <v>4</v>
      </c>
      <c r="B5" s="60" t="s">
        <v>28</v>
      </c>
      <c r="C5" s="195">
        <v>1</v>
      </c>
      <c r="D5" s="198">
        <v>50</v>
      </c>
      <c r="E5" s="187">
        <f>D5*C5</f>
        <v>50</v>
      </c>
      <c r="F5" s="25">
        <v>10</v>
      </c>
      <c r="G5" s="187">
        <f t="shared" si="0"/>
        <v>5</v>
      </c>
    </row>
    <row r="6" spans="1:7" x14ac:dyDescent="0.35">
      <c r="A6" s="17" t="s">
        <v>13</v>
      </c>
      <c r="B6" s="60" t="s">
        <v>28</v>
      </c>
      <c r="C6" s="195">
        <v>2</v>
      </c>
      <c r="D6" s="198">
        <v>60</v>
      </c>
      <c r="E6" s="187">
        <f>D6*C6</f>
        <v>120</v>
      </c>
      <c r="F6" s="25">
        <v>10</v>
      </c>
      <c r="G6" s="187">
        <f t="shared" si="0"/>
        <v>12</v>
      </c>
    </row>
    <row r="7" spans="1:7" x14ac:dyDescent="0.35">
      <c r="A7" s="17" t="s">
        <v>14</v>
      </c>
      <c r="B7" s="60" t="s">
        <v>28</v>
      </c>
      <c r="C7" s="195">
        <v>1</v>
      </c>
      <c r="D7" s="198">
        <v>194.99</v>
      </c>
      <c r="E7" s="187">
        <f>D7*C7</f>
        <v>194.99</v>
      </c>
      <c r="F7" s="25">
        <v>10</v>
      </c>
      <c r="G7" s="187">
        <f t="shared" si="0"/>
        <v>19.499000000000002</v>
      </c>
    </row>
    <row r="8" spans="1:7" x14ac:dyDescent="0.35">
      <c r="A8" s="17" t="s">
        <v>191</v>
      </c>
      <c r="B8" s="60" t="s">
        <v>28</v>
      </c>
      <c r="C8" s="195">
        <v>3</v>
      </c>
      <c r="D8" s="26">
        <v>69.989999999999995</v>
      </c>
      <c r="E8" s="187">
        <f t="shared" ref="E8:E17" si="1">C8*D8</f>
        <v>209.96999999999997</v>
      </c>
      <c r="F8" s="25">
        <v>10</v>
      </c>
      <c r="G8" s="187">
        <f t="shared" si="0"/>
        <v>20.996999999999996</v>
      </c>
    </row>
    <row r="9" spans="1:7" x14ac:dyDescent="0.35">
      <c r="A9" s="17" t="s">
        <v>187</v>
      </c>
      <c r="B9" s="60" t="s">
        <v>28</v>
      </c>
      <c r="C9" s="195">
        <v>10</v>
      </c>
      <c r="D9" s="26">
        <v>19.989999999999998</v>
      </c>
      <c r="E9" s="187">
        <f t="shared" si="1"/>
        <v>199.89999999999998</v>
      </c>
      <c r="F9" s="25">
        <v>30</v>
      </c>
      <c r="G9" s="187">
        <f t="shared" si="0"/>
        <v>6.6633333333333322</v>
      </c>
    </row>
    <row r="10" spans="1:7" x14ac:dyDescent="0.35">
      <c r="A10" s="17" t="s">
        <v>184</v>
      </c>
      <c r="B10" s="60" t="s">
        <v>28</v>
      </c>
      <c r="C10" s="195">
        <v>1</v>
      </c>
      <c r="D10" s="26">
        <v>159.99</v>
      </c>
      <c r="E10" s="187">
        <f t="shared" si="1"/>
        <v>159.99</v>
      </c>
      <c r="F10" s="25">
        <v>30</v>
      </c>
      <c r="G10" s="187">
        <f t="shared" si="0"/>
        <v>5.3330000000000002</v>
      </c>
    </row>
    <row r="11" spans="1:7" x14ac:dyDescent="0.35">
      <c r="A11" s="17" t="s">
        <v>185</v>
      </c>
      <c r="B11" s="60" t="s">
        <v>28</v>
      </c>
      <c r="C11" s="195">
        <v>1</v>
      </c>
      <c r="D11" s="26">
        <v>200</v>
      </c>
      <c r="E11" s="187">
        <f t="shared" si="1"/>
        <v>200</v>
      </c>
      <c r="F11" s="25">
        <v>30</v>
      </c>
      <c r="G11" s="187">
        <f t="shared" si="0"/>
        <v>6.666666666666667</v>
      </c>
    </row>
    <row r="12" spans="1:7" x14ac:dyDescent="0.35">
      <c r="A12" s="17" t="s">
        <v>222</v>
      </c>
      <c r="B12" s="60" t="s">
        <v>28</v>
      </c>
      <c r="C12" s="195">
        <v>3</v>
      </c>
      <c r="D12" s="26">
        <v>60</v>
      </c>
      <c r="E12" s="187">
        <f t="shared" si="1"/>
        <v>180</v>
      </c>
      <c r="F12" s="25">
        <v>30</v>
      </c>
      <c r="G12" s="187">
        <f t="shared" si="0"/>
        <v>6</v>
      </c>
    </row>
    <row r="13" spans="1:7" x14ac:dyDescent="0.35">
      <c r="A13" s="68" t="s">
        <v>214</v>
      </c>
      <c r="B13" s="23" t="s">
        <v>55</v>
      </c>
      <c r="C13" s="195">
        <v>30</v>
      </c>
      <c r="D13" s="26">
        <v>19.989999999999998</v>
      </c>
      <c r="E13" s="187">
        <f t="shared" si="1"/>
        <v>599.69999999999993</v>
      </c>
      <c r="F13" s="25">
        <v>31</v>
      </c>
      <c r="G13" s="187">
        <f t="shared" si="0"/>
        <v>19.345161290322579</v>
      </c>
    </row>
    <row r="14" spans="1:7" x14ac:dyDescent="0.35">
      <c r="A14" s="191" t="s">
        <v>208</v>
      </c>
      <c r="B14" s="60" t="s">
        <v>194</v>
      </c>
      <c r="C14" s="195">
        <v>9</v>
      </c>
      <c r="D14" s="26">
        <v>129.99</v>
      </c>
      <c r="E14" s="187">
        <f t="shared" si="1"/>
        <v>1169.9100000000001</v>
      </c>
      <c r="F14" s="25">
        <v>5</v>
      </c>
      <c r="G14" s="187">
        <f t="shared" si="0"/>
        <v>233.98200000000003</v>
      </c>
    </row>
    <row r="15" spans="1:7" x14ac:dyDescent="0.35">
      <c r="A15" s="191" t="s">
        <v>209</v>
      </c>
      <c r="B15" s="60" t="s">
        <v>195</v>
      </c>
      <c r="C15" s="195">
        <v>4</v>
      </c>
      <c r="D15" s="26">
        <v>169.99</v>
      </c>
      <c r="E15" s="187">
        <f t="shared" si="1"/>
        <v>679.96</v>
      </c>
      <c r="F15" s="25">
        <v>5</v>
      </c>
      <c r="G15" s="187">
        <f t="shared" si="0"/>
        <v>135.99200000000002</v>
      </c>
    </row>
    <row r="16" spans="1:7" x14ac:dyDescent="0.35">
      <c r="A16" s="191"/>
      <c r="B16" s="60" t="s">
        <v>196</v>
      </c>
      <c r="C16" s="195">
        <v>2</v>
      </c>
      <c r="D16" s="26">
        <v>109.99</v>
      </c>
      <c r="E16" s="187">
        <f t="shared" si="1"/>
        <v>219.98</v>
      </c>
      <c r="F16" s="25">
        <v>5</v>
      </c>
      <c r="G16" s="187">
        <f t="shared" si="0"/>
        <v>43.995999999999995</v>
      </c>
    </row>
    <row r="17" spans="1:7" x14ac:dyDescent="0.35">
      <c r="A17" s="17" t="s">
        <v>210</v>
      </c>
      <c r="B17" s="60"/>
      <c r="C17" s="195">
        <v>1</v>
      </c>
      <c r="D17" s="26">
        <v>5000</v>
      </c>
      <c r="E17" s="187">
        <f t="shared" si="1"/>
        <v>5000</v>
      </c>
      <c r="F17" s="25">
        <v>15</v>
      </c>
      <c r="G17" s="187">
        <f t="shared" si="0"/>
        <v>333.33333333333331</v>
      </c>
    </row>
    <row r="18" spans="1:7" x14ac:dyDescent="0.35">
      <c r="A18" s="17" t="s">
        <v>33</v>
      </c>
      <c r="B18" s="60" t="s">
        <v>28</v>
      </c>
      <c r="C18" s="195">
        <v>1</v>
      </c>
      <c r="D18" s="26">
        <v>1499.99</v>
      </c>
      <c r="E18" s="187">
        <f>D18*C18</f>
        <v>1499.99</v>
      </c>
      <c r="F18" s="25">
        <v>10</v>
      </c>
      <c r="G18" s="187">
        <f t="shared" si="0"/>
        <v>149.999</v>
      </c>
    </row>
    <row r="19" spans="1:7" x14ac:dyDescent="0.35">
      <c r="A19" s="17" t="s">
        <v>34</v>
      </c>
      <c r="B19" s="60" t="s">
        <v>28</v>
      </c>
      <c r="C19" s="195">
        <v>1</v>
      </c>
      <c r="D19" s="26">
        <v>699.99</v>
      </c>
      <c r="E19" s="187">
        <f>D19*C19</f>
        <v>699.99</v>
      </c>
      <c r="F19" s="25">
        <v>10</v>
      </c>
      <c r="G19" s="187">
        <f t="shared" si="0"/>
        <v>69.998999999999995</v>
      </c>
    </row>
    <row r="20" spans="1:7" x14ac:dyDescent="0.35">
      <c r="A20" s="17" t="s">
        <v>1</v>
      </c>
      <c r="B20" s="60" t="s">
        <v>27</v>
      </c>
      <c r="C20" s="195">
        <v>2</v>
      </c>
      <c r="D20" s="198">
        <v>579.99</v>
      </c>
      <c r="E20" s="187">
        <f>D20*C20</f>
        <v>1159.98</v>
      </c>
      <c r="F20" s="25">
        <v>10</v>
      </c>
      <c r="G20" s="187">
        <f t="shared" si="0"/>
        <v>115.998</v>
      </c>
    </row>
    <row r="21" spans="1:7" x14ac:dyDescent="0.35">
      <c r="A21" s="17" t="s">
        <v>25</v>
      </c>
      <c r="B21" s="60" t="s">
        <v>27</v>
      </c>
      <c r="C21" s="195">
        <v>2</v>
      </c>
      <c r="D21" s="198">
        <v>449.99</v>
      </c>
      <c r="E21" s="187">
        <f>D21*C21</f>
        <v>899.98</v>
      </c>
      <c r="F21" s="25">
        <v>10</v>
      </c>
      <c r="G21" s="187">
        <f t="shared" si="0"/>
        <v>89.998000000000005</v>
      </c>
    </row>
    <row r="22" spans="1:7" x14ac:dyDescent="0.35">
      <c r="A22" s="17" t="s">
        <v>192</v>
      </c>
      <c r="B22" s="60" t="s">
        <v>27</v>
      </c>
      <c r="C22" s="195">
        <v>2</v>
      </c>
      <c r="D22" s="26">
        <v>789.99</v>
      </c>
      <c r="E22" s="187">
        <f>C22*D22</f>
        <v>1579.98</v>
      </c>
      <c r="F22" s="25">
        <v>10</v>
      </c>
      <c r="G22" s="187">
        <f t="shared" si="0"/>
        <v>157.99799999999999</v>
      </c>
    </row>
    <row r="23" spans="1:7" x14ac:dyDescent="0.35">
      <c r="A23" s="17" t="s">
        <v>197</v>
      </c>
      <c r="B23" s="60" t="s">
        <v>27</v>
      </c>
      <c r="C23" s="195">
        <v>2</v>
      </c>
      <c r="D23" s="26">
        <v>400</v>
      </c>
      <c r="E23" s="187">
        <f>C23*D23</f>
        <v>800</v>
      </c>
      <c r="F23" s="25">
        <v>5</v>
      </c>
      <c r="G23" s="187">
        <f t="shared" si="0"/>
        <v>160</v>
      </c>
    </row>
    <row r="24" spans="1:7" x14ac:dyDescent="0.35">
      <c r="A24" s="181" t="s">
        <v>183</v>
      </c>
      <c r="B24" s="182" t="s">
        <v>27</v>
      </c>
      <c r="C24" s="196">
        <v>2</v>
      </c>
      <c r="D24" s="199">
        <v>1299.99</v>
      </c>
      <c r="E24" s="188">
        <f>C24*D24</f>
        <v>2599.98</v>
      </c>
      <c r="F24" s="201">
        <v>30</v>
      </c>
      <c r="G24" s="187">
        <f t="shared" si="0"/>
        <v>86.665999999999997</v>
      </c>
    </row>
    <row r="25" spans="1:7" x14ac:dyDescent="0.35">
      <c r="A25" s="17" t="s">
        <v>186</v>
      </c>
      <c r="B25" s="60" t="s">
        <v>27</v>
      </c>
      <c r="C25" s="195">
        <v>45</v>
      </c>
      <c r="D25" s="26">
        <v>39.99</v>
      </c>
      <c r="E25" s="187">
        <f>C25*D25</f>
        <v>1799.5500000000002</v>
      </c>
      <c r="F25" s="25">
        <v>30</v>
      </c>
      <c r="G25" s="187">
        <f t="shared" si="0"/>
        <v>59.985000000000007</v>
      </c>
    </row>
    <row r="26" spans="1:7" x14ac:dyDescent="0.35">
      <c r="A26" s="25"/>
      <c r="B26" s="60" t="s">
        <v>27</v>
      </c>
      <c r="C26" s="195"/>
      <c r="D26" s="26"/>
      <c r="E26" s="187">
        <f t="shared" ref="E26:E32" si="2">C26*D26</f>
        <v>0</v>
      </c>
      <c r="F26" s="25"/>
      <c r="G26" s="187">
        <f t="shared" si="0"/>
        <v>0</v>
      </c>
    </row>
    <row r="27" spans="1:7" x14ac:dyDescent="0.35">
      <c r="A27" s="25"/>
      <c r="B27" s="60" t="s">
        <v>27</v>
      </c>
      <c r="C27" s="195"/>
      <c r="D27" s="26"/>
      <c r="E27" s="187">
        <f t="shared" si="2"/>
        <v>0</v>
      </c>
      <c r="F27" s="25"/>
      <c r="G27" s="187">
        <f t="shared" si="0"/>
        <v>0</v>
      </c>
    </row>
    <row r="28" spans="1:7" x14ac:dyDescent="0.35">
      <c r="A28" s="25"/>
      <c r="B28" s="60" t="s">
        <v>27</v>
      </c>
      <c r="C28" s="195"/>
      <c r="D28" s="26"/>
      <c r="E28" s="187">
        <f t="shared" si="2"/>
        <v>0</v>
      </c>
      <c r="F28" s="25"/>
      <c r="G28" s="187">
        <f t="shared" si="0"/>
        <v>0</v>
      </c>
    </row>
    <row r="29" spans="1:7" x14ac:dyDescent="0.35">
      <c r="A29" s="25"/>
      <c r="B29" s="60" t="s">
        <v>27</v>
      </c>
      <c r="C29" s="195"/>
      <c r="D29" s="26"/>
      <c r="E29" s="187">
        <f t="shared" si="2"/>
        <v>0</v>
      </c>
      <c r="F29" s="25"/>
      <c r="G29" s="187">
        <f t="shared" si="0"/>
        <v>0</v>
      </c>
    </row>
    <row r="30" spans="1:7" x14ac:dyDescent="0.35">
      <c r="A30" s="25"/>
      <c r="B30" s="60" t="s">
        <v>27</v>
      </c>
      <c r="C30" s="195"/>
      <c r="D30" s="26"/>
      <c r="E30" s="187">
        <f t="shared" si="2"/>
        <v>0</v>
      </c>
      <c r="F30" s="25"/>
      <c r="G30" s="187">
        <f t="shared" si="0"/>
        <v>0</v>
      </c>
    </row>
    <row r="31" spans="1:7" x14ac:dyDescent="0.35">
      <c r="A31" s="25"/>
      <c r="B31" s="60" t="s">
        <v>27</v>
      </c>
      <c r="C31" s="195"/>
      <c r="D31" s="26"/>
      <c r="E31" s="187">
        <f t="shared" si="2"/>
        <v>0</v>
      </c>
      <c r="F31" s="25"/>
      <c r="G31" s="187">
        <f t="shared" si="0"/>
        <v>0</v>
      </c>
    </row>
    <row r="32" spans="1:7" x14ac:dyDescent="0.35">
      <c r="A32" s="25"/>
      <c r="B32" s="60" t="s">
        <v>27</v>
      </c>
      <c r="C32" s="195"/>
      <c r="D32" s="26"/>
      <c r="E32" s="187">
        <f t="shared" si="2"/>
        <v>0</v>
      </c>
      <c r="F32" s="25"/>
      <c r="G32" s="187">
        <f t="shared" si="0"/>
        <v>0</v>
      </c>
    </row>
    <row r="33" spans="1:7" ht="15" thickBot="1" x14ac:dyDescent="0.4">
      <c r="A33" s="192" t="s">
        <v>39</v>
      </c>
      <c r="B33" s="193"/>
      <c r="C33" s="193"/>
      <c r="D33" s="193"/>
      <c r="E33" s="190">
        <f>SUM(E3:E32)</f>
        <v>20938.829999999994</v>
      </c>
      <c r="F33" s="193"/>
      <c r="G33" s="190">
        <f>SUM(G3:G32)</f>
        <v>1809.946494623656</v>
      </c>
    </row>
    <row r="34" spans="1:7" ht="15" thickTop="1" x14ac:dyDescent="0.35"/>
    <row r="35" spans="1:7" x14ac:dyDescent="0.35">
      <c r="A35" t="s">
        <v>223</v>
      </c>
    </row>
    <row r="36" spans="1:7" x14ac:dyDescent="0.35">
      <c r="A36" t="s">
        <v>224</v>
      </c>
    </row>
    <row r="48" spans="1:7" x14ac:dyDescent="0.35">
      <c r="E48" s="1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28CC-C817-46BC-80EB-C956EBA29B08}">
  <dimension ref="A2:R25"/>
  <sheetViews>
    <sheetView zoomScale="120" zoomScaleNormal="120" workbookViewId="0">
      <selection activeCell="E28" sqref="E28"/>
    </sheetView>
  </sheetViews>
  <sheetFormatPr defaultRowHeight="14.5" x14ac:dyDescent="0.35"/>
  <cols>
    <col min="1" max="1" width="15.7265625" customWidth="1"/>
    <col min="2" max="2" width="14.1796875" customWidth="1"/>
    <col min="3" max="3" width="9.7265625" customWidth="1"/>
    <col min="4" max="4" width="9.54296875" customWidth="1"/>
    <col min="5" max="5" width="9.453125" customWidth="1"/>
    <col min="12" max="12" width="12.36328125" bestFit="1" customWidth="1"/>
  </cols>
  <sheetData>
    <row r="2" spans="1:9" x14ac:dyDescent="0.35">
      <c r="B2" s="4" t="s">
        <v>94</v>
      </c>
      <c r="D2" s="26">
        <v>115</v>
      </c>
    </row>
    <row r="3" spans="1:9" x14ac:dyDescent="0.35">
      <c r="B3" s="247" t="s">
        <v>89</v>
      </c>
      <c r="C3" s="248"/>
      <c r="D3" s="238" t="s">
        <v>230</v>
      </c>
      <c r="E3" s="237">
        <v>0.2</v>
      </c>
      <c r="F3" s="238" t="s">
        <v>230</v>
      </c>
      <c r="G3" s="237">
        <v>0.3</v>
      </c>
      <c r="H3" s="236" t="s">
        <v>230</v>
      </c>
      <c r="I3" s="237">
        <v>0.4</v>
      </c>
    </row>
    <row r="4" spans="1:9" x14ac:dyDescent="0.35">
      <c r="A4" s="46" t="s">
        <v>82</v>
      </c>
      <c r="B4" s="233">
        <v>5.74</v>
      </c>
      <c r="C4" s="234">
        <v>8.52</v>
      </c>
      <c r="D4" s="230">
        <f>$B4*(1+E3)</f>
        <v>6.8879999999999999</v>
      </c>
      <c r="E4" s="235">
        <f>$C4*(1+E3)</f>
        <v>10.223999999999998</v>
      </c>
      <c r="F4" s="230">
        <f>$B4*(1+G3)</f>
        <v>7.4620000000000006</v>
      </c>
      <c r="G4" s="230">
        <f>$C4*(1+G3)</f>
        <v>11.076000000000001</v>
      </c>
      <c r="H4" s="230">
        <f>$B4*(1+I3)</f>
        <v>8.0359999999999996</v>
      </c>
      <c r="I4" s="235">
        <f>$C4*(1+I3)</f>
        <v>11.927999999999999</v>
      </c>
    </row>
    <row r="5" spans="1:9" x14ac:dyDescent="0.35">
      <c r="A5" s="56" t="s">
        <v>88</v>
      </c>
      <c r="B5" s="247" t="s">
        <v>90</v>
      </c>
      <c r="C5" s="248"/>
      <c r="D5" s="248"/>
      <c r="E5" s="248"/>
      <c r="F5" s="248"/>
      <c r="G5" s="248"/>
      <c r="H5" s="248"/>
      <c r="I5" s="249"/>
    </row>
    <row r="6" spans="1:9" x14ac:dyDescent="0.35">
      <c r="A6" s="57">
        <v>0.4</v>
      </c>
      <c r="B6" s="41">
        <f>B$4*(1-$A6)</f>
        <v>3.444</v>
      </c>
      <c r="C6" s="44">
        <f t="shared" ref="C6:I8" si="0">C$4*(1-$A6)</f>
        <v>5.1119999999999992</v>
      </c>
      <c r="D6" s="40">
        <f t="shared" si="0"/>
        <v>4.1327999999999996</v>
      </c>
      <c r="E6" s="44">
        <f t="shared" si="0"/>
        <v>6.1343999999999985</v>
      </c>
      <c r="F6" s="40">
        <f t="shared" si="0"/>
        <v>4.4771999999999998</v>
      </c>
      <c r="G6" s="44">
        <f t="shared" si="0"/>
        <v>6.6456</v>
      </c>
      <c r="H6" s="40">
        <f t="shared" si="0"/>
        <v>4.8215999999999992</v>
      </c>
      <c r="I6" s="44">
        <f t="shared" si="0"/>
        <v>7.1567999999999996</v>
      </c>
    </row>
    <row r="7" spans="1:9" x14ac:dyDescent="0.35">
      <c r="A7" s="57">
        <v>0.3</v>
      </c>
      <c r="B7" s="43">
        <f t="shared" ref="B7:E8" si="1">B$4*(1-$A7)</f>
        <v>4.0179999999999998</v>
      </c>
      <c r="C7" s="45">
        <f t="shared" si="1"/>
        <v>5.9639999999999995</v>
      </c>
      <c r="D7" s="42">
        <f t="shared" si="1"/>
        <v>4.8215999999999992</v>
      </c>
      <c r="E7" s="45">
        <f t="shared" si="1"/>
        <v>7.1567999999999987</v>
      </c>
      <c r="F7" s="42">
        <f t="shared" si="0"/>
        <v>5.2233999999999998</v>
      </c>
      <c r="G7" s="45">
        <f t="shared" si="0"/>
        <v>7.7531999999999996</v>
      </c>
      <c r="H7" s="42">
        <f t="shared" si="0"/>
        <v>5.6251999999999995</v>
      </c>
      <c r="I7" s="45">
        <f t="shared" si="0"/>
        <v>8.3495999999999988</v>
      </c>
    </row>
    <row r="8" spans="1:9" ht="15" thickBot="1" x14ac:dyDescent="0.4">
      <c r="A8" s="57">
        <v>0.2</v>
      </c>
      <c r="B8" s="43">
        <f t="shared" si="1"/>
        <v>4.5920000000000005</v>
      </c>
      <c r="C8" s="45">
        <f t="shared" si="1"/>
        <v>6.8159999999999998</v>
      </c>
      <c r="D8" s="42">
        <f t="shared" si="1"/>
        <v>5.5104000000000006</v>
      </c>
      <c r="E8" s="45">
        <f t="shared" si="1"/>
        <v>8.1791999999999998</v>
      </c>
      <c r="F8" s="42">
        <f t="shared" si="0"/>
        <v>5.9696000000000007</v>
      </c>
      <c r="G8" s="45">
        <f t="shared" si="0"/>
        <v>8.8608000000000011</v>
      </c>
      <c r="H8" s="42">
        <f t="shared" si="0"/>
        <v>6.4287999999999998</v>
      </c>
      <c r="I8" s="45">
        <f t="shared" si="0"/>
        <v>9.5423999999999989</v>
      </c>
    </row>
    <row r="9" spans="1:9" ht="21" customHeight="1" x14ac:dyDescent="0.35">
      <c r="A9" s="180"/>
      <c r="B9" s="252" t="s">
        <v>232</v>
      </c>
      <c r="C9" s="253"/>
      <c r="D9" s="253"/>
      <c r="E9" s="253"/>
      <c r="F9" s="253"/>
      <c r="G9" s="253"/>
      <c r="H9" s="253"/>
      <c r="I9" s="254"/>
    </row>
    <row r="10" spans="1:9" ht="14.5" customHeight="1" x14ac:dyDescent="0.35">
      <c r="A10" s="227" t="s">
        <v>231</v>
      </c>
      <c r="B10" s="250" t="s">
        <v>229</v>
      </c>
      <c r="C10" s="251"/>
      <c r="D10" s="220">
        <v>500</v>
      </c>
      <c r="E10" s="251" t="s">
        <v>114</v>
      </c>
      <c r="F10" s="251"/>
      <c r="G10" s="220">
        <v>250</v>
      </c>
      <c r="H10" s="221" t="s">
        <v>39</v>
      </c>
      <c r="I10" s="223">
        <f>D10+G10</f>
        <v>750</v>
      </c>
    </row>
    <row r="11" spans="1:9" x14ac:dyDescent="0.35">
      <c r="A11" s="231">
        <f>A6</f>
        <v>0.4</v>
      </c>
      <c r="B11" s="50">
        <f>B6*Budget!$G$5*$D$10+$G$10*Budget!$G$9-($D$10*(Budget!$F$14*$D$2+Budget!$G$5*Budget!$G$15)+Budget!$H$19+Budget!$H$61+Budget!$H$72)</f>
        <v>-370956.31085000001</v>
      </c>
      <c r="C11" s="51">
        <f>C6*Budget!$G$5*$D$10+$G$10*Budget!$G$9-($D$10*(Budget!$F$14*$D$2+Budget!$G$5*Budget!$G$15)+Budget!$H$19+Budget!$H$61+Budget!$H$72)</f>
        <v>-79056.310850000125</v>
      </c>
      <c r="D11" s="50">
        <f>D6*Budget!$G$5*$D$10+$G$10*Budget!$G$9-($D$10*(Budget!$F$14*$D$2+Budget!$G$5*Budget!$G$15)+Budget!$H$19+Budget!$H$61+Budget!$H$72)</f>
        <v>-250416.31085000013</v>
      </c>
      <c r="E11" s="54">
        <f>E6*Budget!$G$5*$D$10+$G$10*Budget!$G$9-($D$10*(Budget!$F$14*$D$2+Budget!$G$5*Budget!$G$15)+Budget!$H$19+Budget!$H$61+Budget!$H$72)</f>
        <v>99863.689149999758</v>
      </c>
      <c r="F11" s="51">
        <f>F6*Budget!$G$5*$D$10+$G$10*Budget!$G$9-($D$10*(Budget!$F$14*$D$2+Budget!$G$5*Budget!$G$15)+Budget!$H$19+Budget!$H$61+Budget!$H$72)</f>
        <v>-190146.31085000001</v>
      </c>
      <c r="G11" s="51">
        <f>G6*Budget!$G$5*$D$10+$G$10*Budget!$G$9-($D$10*(Budget!$F$14*$D$2+Budget!$G$5*Budget!$G$15)+Budget!$H$19+Budget!$H$61+Budget!$H$72)</f>
        <v>189323.68914999999</v>
      </c>
      <c r="H11" s="50">
        <f>H6*Budget!$G$5*$D$10+$G$10*Budget!$G$9-($D$10*(Budget!$F$14*$D$2+Budget!$G$5*Budget!$G$15)+Budget!$H$19+Budget!$H$61+Budget!$H$72)</f>
        <v>-129876.31085000013</v>
      </c>
      <c r="I11" s="125">
        <f>I6*Budget!$G$5*$D$10+$G$10*Budget!$G$9-($D$10*(Budget!$F$14*$D$2+Budget!$G$5*Budget!$G$15)+Budget!$H$19+Budget!$H$61+Budget!$H$72)</f>
        <v>278783.68914999976</v>
      </c>
    </row>
    <row r="12" spans="1:9" x14ac:dyDescent="0.35">
      <c r="A12" s="231">
        <f>A7</f>
        <v>0.3</v>
      </c>
      <c r="B12" s="52">
        <f>B7*Budget!$G$5*$D$10+$G$10*Budget!$G$9-($D$10*(Budget!$F$14*$D$2+Budget!$G$5*Budget!$G$15)+Budget!$H$19+Budget!$H$61+Budget!$H$72)</f>
        <v>-270506.31085000001</v>
      </c>
      <c r="C12" s="53">
        <f>C7*Budget!$G$5*$D$10+$G$10*Budget!$G$9-($D$10*(Budget!$F$14*$D$2+Budget!$G$5*Budget!$G$15)+Budget!$H$19+Budget!$H$61+Budget!$H$72)</f>
        <v>70043.689149999758</v>
      </c>
      <c r="D12" s="52">
        <f>D7*Budget!$G$5*$D$10+$G$10*Budget!$G$9-($D$10*(Budget!$F$14*$D$2+Budget!$G$5*Budget!$G$15)+Budget!$H$19+Budget!$H$61+Budget!$H$72)</f>
        <v>-129876.31085000013</v>
      </c>
      <c r="E12" s="55">
        <f>E7*Budget!$G$5*$D$10+$G$10*Budget!$G$9-($D$10*(Budget!$F$14*$D$2+Budget!$G$5*Budget!$G$15)+Budget!$H$19+Budget!$H$61+Budget!$H$72)</f>
        <v>278783.68914999976</v>
      </c>
      <c r="F12" s="53">
        <f>F7*Budget!$G$5*$D$10+$G$10*Budget!$G$9-($D$10*(Budget!$F$14*$D$2+Budget!$G$5*Budget!$G$15)+Budget!$H$19+Budget!$H$61+Budget!$H$72)</f>
        <v>-59561.310850000125</v>
      </c>
      <c r="G12" s="53">
        <f>G7*Budget!$G$5*$D$10+$G$10*Budget!$G$9-($D$10*(Budget!$F$14*$D$2+Budget!$G$5*Budget!$G$15)+Budget!$H$19+Budget!$H$61+Budget!$H$72)</f>
        <v>383153.68914999999</v>
      </c>
      <c r="H12" s="52">
        <f>H7*Budget!$G$5*$D$10+$G$10*Budget!$G$9-($D$10*(Budget!$F$14*$D$2+Budget!$G$5*Budget!$G$15)+Budget!$H$19+Budget!$H$61+Budget!$H$72)</f>
        <v>10753.689149999991</v>
      </c>
      <c r="I12" s="126">
        <f>I7*Budget!$G$5*$D$10+$G$10*Budget!$G$9-($D$10*(Budget!$F$14*$D$2+Budget!$G$5*Budget!$G$15)+Budget!$H$19+Budget!$H$61+Budget!$H$72)</f>
        <v>487523.68914999976</v>
      </c>
    </row>
    <row r="13" spans="1:9" ht="15" thickBot="1" x14ac:dyDescent="0.4">
      <c r="A13" s="232">
        <f>A8</f>
        <v>0.2</v>
      </c>
      <c r="B13" s="127">
        <f>B8*Budget!$G$5*$D$10+$G$10*Budget!$G$9-($D$10*(Budget!$F$14*$D$2+Budget!$G$5*Budget!$G$15)+Budget!$H$19+Budget!$H$61+Budget!$H$72)</f>
        <v>-170056.31084999989</v>
      </c>
      <c r="C13" s="128">
        <f>C8*Budget!$G$5*$D$10+$G$10*Budget!$G$9-($D$10*(Budget!$F$14*$D$2+Budget!$G$5*Budget!$G$15)+Budget!$H$19+Budget!$H$61+Budget!$H$72)</f>
        <v>219143.68914999999</v>
      </c>
      <c r="D13" s="127">
        <f>D8*Budget!$G$5*$D$10+$G$10*Budget!$G$9-($D$10*(Budget!$F$14*$D$2+Budget!$G$5*Budget!$G$15)+Budget!$H$19+Budget!$H$61+Budget!$H$72)</f>
        <v>-9336.3108499997761</v>
      </c>
      <c r="E13" s="129">
        <f>E8*Budget!$G$5*$D$10+$G$10*Budget!$G$9-($D$10*(Budget!$F$14*$D$2+Budget!$G$5*Budget!$G$15)+Budget!$H$19+Budget!$H$61+Budget!$H$72)</f>
        <v>457703.68914999999</v>
      </c>
      <c r="F13" s="128">
        <f>F8*Budget!$G$5*$D$10+$G$10*Budget!$G$9-($D$10*(Budget!$F$14*$D$2+Budget!$G$5*Budget!$G$15)+Budget!$H$19+Budget!$H$61+Budget!$H$72)</f>
        <v>71023.689150000224</v>
      </c>
      <c r="G13" s="128">
        <f>G8*Budget!$G$5*$D$10+$G$10*Budget!$G$9-($D$10*(Budget!$F$14*$D$2+Budget!$G$5*Budget!$G$15)+Budget!$H$19+Budget!$H$61+Budget!$H$72)</f>
        <v>576983.68914999999</v>
      </c>
      <c r="H13" s="127">
        <f>H8*Budget!$G$5*$D$10+$G$10*Budget!$G$9-($D$10*(Budget!$F$14*$D$2+Budget!$G$5*Budget!$G$15)+Budget!$H$19+Budget!$H$61+Budget!$H$72)</f>
        <v>151383.68914999999</v>
      </c>
      <c r="I13" s="130">
        <f>I8*Budget!$G$5*$D$10+$G$10*Budget!$G$9-($D$10*(Budget!$F$14*$D$2+Budget!$G$5*Budget!$G$15)+Budget!$H$19+Budget!$H$61+Budget!$H$72)</f>
        <v>696263.68914999976</v>
      </c>
    </row>
    <row r="14" spans="1:9" ht="18.5" customHeight="1" x14ac:dyDescent="0.35">
      <c r="A14" s="226"/>
      <c r="B14" s="253" t="s">
        <v>233</v>
      </c>
      <c r="C14" s="253"/>
      <c r="D14" s="253"/>
      <c r="E14" s="253"/>
      <c r="F14" s="253"/>
      <c r="G14" s="253"/>
      <c r="H14" s="253"/>
      <c r="I14" s="254"/>
    </row>
    <row r="15" spans="1:9" ht="14" customHeight="1" x14ac:dyDescent="0.35">
      <c r="A15" s="227" t="s">
        <v>231</v>
      </c>
      <c r="B15" s="255" t="s">
        <v>229</v>
      </c>
      <c r="C15" s="256"/>
      <c r="D15" s="224">
        <v>450</v>
      </c>
      <c r="E15" s="256" t="s">
        <v>114</v>
      </c>
      <c r="F15" s="256"/>
      <c r="G15" s="224">
        <v>225</v>
      </c>
      <c r="H15" s="228" t="s">
        <v>39</v>
      </c>
      <c r="I15" s="229">
        <f>D15+G15</f>
        <v>675</v>
      </c>
    </row>
    <row r="16" spans="1:9" x14ac:dyDescent="0.35">
      <c r="A16" s="231">
        <f>A6</f>
        <v>0.4</v>
      </c>
      <c r="B16" s="50">
        <f>B6*Budget!$G$5*$G$15+$I$15*Budget!$G$9-($G$15*(Budget!$F$14*$D$2+Budget!$G$5*Budget!$G$15)+Budget!$H$19+Budget!$H$61+Budget!$H$72)</f>
        <v>-65941.310850000009</v>
      </c>
      <c r="C16" s="51">
        <f>C6*Budget!$G$5*$G$15+$I$15*Budget!$G$9-($G$15*(Budget!$F$14*$D$2+Budget!$G$5*Budget!$G$15)+Budget!$H$19+Budget!$H$61+Budget!$H$72)</f>
        <v>65413.689149999991</v>
      </c>
      <c r="D16" s="50">
        <f>D6*Budget!$G$5*$G$15+$I$15*Budget!$G$9-($G$15*(Budget!$F$14*$D$2+Budget!$G$5*Budget!$G$15)+Budget!$H$19+Budget!$H$61+Budget!$H$72)</f>
        <v>-11698.310850000009</v>
      </c>
      <c r="E16" s="54">
        <f>E6*Budget!$G$5*$G$15+$I$15*Budget!$G$9-($G$15*(Budget!$F$14*$D$2+Budget!$G$5*Budget!$G$15)+Budget!$H$19+Budget!$H$61+Budget!$H$72)</f>
        <v>145927.68914999999</v>
      </c>
      <c r="F16" s="51">
        <f>F6*Budget!$G$5*$G$15+$I$15*Budget!$G$9-($G$15*(Budget!$F$14*$D$2+Budget!$G$5*Budget!$G$15)+Budget!$H$19+Budget!$H$61+Budget!$H$72)</f>
        <v>15423.189149999991</v>
      </c>
      <c r="G16" s="51">
        <f>G6*Budget!$G$5*$G$15+$I$15*Budget!$G$9-($G$15*(Budget!$F$14*$D$2+Budget!$G$5*Budget!$G$15)+Budget!$H$19+Budget!$H$61+Budget!$H$72)</f>
        <v>186184.68914999999</v>
      </c>
      <c r="H16" s="50">
        <f>H6*Budget!$G$5*$G$15+$I$15*Budget!$G$9-($G$15*(Budget!$F$14*$D$2+Budget!$G$5*Budget!$G$15)+Budget!$H$19+Budget!$H$61+Budget!$H$72)</f>
        <v>42544.689149999991</v>
      </c>
      <c r="I16" s="125">
        <f>I6*Budget!$G$5*$G$15+$I$15*Budget!$G$9-($G$15*(Budget!$F$14*$D$2+Budget!$G$5*Budget!$G$15)+Budget!$H$19+Budget!$H$61+Budget!$H$72)</f>
        <v>226441.68914999999</v>
      </c>
    </row>
    <row r="17" spans="1:18" x14ac:dyDescent="0.35">
      <c r="A17" s="231">
        <f t="shared" ref="A17:A18" si="2">A7</f>
        <v>0.3</v>
      </c>
      <c r="B17" s="52">
        <f>B7*Budget!$G$5*$G$15+$I$15*Budget!$G$9-($G$15*(Budget!$F$14*$D$2+Budget!$G$5*Budget!$G$15)+Budget!$H$19+Budget!$H$61+Budget!$H$72)</f>
        <v>-20738.810850000009</v>
      </c>
      <c r="C17" s="53">
        <f>C7*Budget!$G$5*$G$15+$I$15*Budget!$G$9-($G$15*(Budget!$F$14*$D$2+Budget!$G$5*Budget!$G$15)+Budget!$H$19+Budget!$H$61+Budget!$H$72)</f>
        <v>132508.68914999999</v>
      </c>
      <c r="D17" s="52">
        <f>D7*Budget!$G$5*$G$15+$I$15*Budget!$G$9-($G$15*(Budget!$F$14*$D$2+Budget!$G$5*Budget!$G$15)+Budget!$H$19+Budget!$H$61+Budget!$H$72)</f>
        <v>42544.689149999991</v>
      </c>
      <c r="E17" s="55">
        <f>E7*Budget!$G$5*$G$15+$I$15*Budget!$G$9-($G$15*(Budget!$F$14*$D$2+Budget!$G$5*Budget!$G$15)+Budget!$H$19+Budget!$H$61+Budget!$H$72)</f>
        <v>226441.68914999999</v>
      </c>
      <c r="F17" s="53">
        <f>F7*Budget!$G$5*$G$15+$I$15*Budget!$G$9-($G$15*(Budget!$F$14*$D$2+Budget!$G$5*Budget!$G$15)+Budget!$H$19+Budget!$H$61+Budget!$H$72)</f>
        <v>74186.439149999991</v>
      </c>
      <c r="G17" s="53">
        <f>G7*Budget!$G$5*$G$15+$I$15*Budget!$G$9-($G$15*(Budget!$F$14*$D$2+Budget!$G$5*Budget!$G$15)+Budget!$H$19+Budget!$H$61+Budget!$H$72)</f>
        <v>273408.18914999999</v>
      </c>
      <c r="H17" s="52">
        <f>H7*Budget!$G$5*$G$15+$I$15*Budget!$G$9-($G$15*(Budget!$F$14*$D$2+Budget!$G$5*Budget!$G$15)+Budget!$H$19+Budget!$H$61+Budget!$H$72)</f>
        <v>105828.18914999999</v>
      </c>
      <c r="I17" s="126">
        <f>I7*Budget!$G$5*$G$15+$I$15*Budget!$G$9-($G$15*(Budget!$F$14*$D$2+Budget!$G$5*Budget!$G$15)+Budget!$H$19+Budget!$H$61+Budget!$H$72)</f>
        <v>320374.68914999999</v>
      </c>
    </row>
    <row r="18" spans="1:18" ht="15" thickBot="1" x14ac:dyDescent="0.4">
      <c r="A18" s="231">
        <f t="shared" si="2"/>
        <v>0.2</v>
      </c>
      <c r="B18" s="127">
        <f>B8*Budget!$G$5*$G$15+$I$15*Budget!$G$9-($G$15*(Budget!$F$14*$D$2+Budget!$G$5*Budget!$G$15)+Budget!$H$19+Budget!$H$61+Budget!$H$72)</f>
        <v>24463.689150000107</v>
      </c>
      <c r="C18" s="128">
        <f>C8*Budget!$G$5*$G$15+$I$15*Budget!$G$9-($G$15*(Budget!$F$14*$D$2+Budget!$G$5*Budget!$G$15)+Budget!$H$19+Budget!$H$61+Budget!$H$72)</f>
        <v>199603.68914999999</v>
      </c>
      <c r="D18" s="127">
        <f>D8*Budget!$G$5*$G$15+$I$15*Budget!$G$9-($G$15*(Budget!$F$14*$D$2+Budget!$G$5*Budget!$G$15)+Budget!$H$19+Budget!$H$61+Budget!$H$72)</f>
        <v>96787.689150000107</v>
      </c>
      <c r="E18" s="129">
        <f>E8*Budget!$G$5*$G$15+$I$15*Budget!$G$9-($G$15*(Budget!$F$14*$D$2+Budget!$G$5*Budget!$G$15)+Budget!$H$19+Budget!$H$61+Budget!$H$72)</f>
        <v>306955.68914999999</v>
      </c>
      <c r="F18" s="128">
        <f>F8*Budget!$G$5*$G$15+$I$15*Budget!$G$9-($G$15*(Budget!$F$14*$D$2+Budget!$G$5*Budget!$G$15)+Budget!$H$19+Budget!$H$61+Budget!$H$72)</f>
        <v>132949.68914999999</v>
      </c>
      <c r="G18" s="128">
        <f>G8*Budget!$G$5*$G$15+$I$15*Budget!$G$9-($G$15*(Budget!$F$14*$D$2+Budget!$G$5*Budget!$G$15)+Budget!$H$19+Budget!$H$61+Budget!$H$72)</f>
        <v>360631.68914999999</v>
      </c>
      <c r="H18" s="127">
        <f>H8*Budget!$G$5*$G$15+$I$15*Budget!$G$9-($G$15*(Budget!$F$14*$D$2+Budget!$G$5*Budget!$G$15)+Budget!$H$19+Budget!$H$61+Budget!$H$72)</f>
        <v>169111.68914999999</v>
      </c>
      <c r="I18" s="130">
        <f>I8*Budget!$G$5*$G$15+$I$15*Budget!$G$9-($G$15*(Budget!$F$14*$D$2+Budget!$G$5*Budget!$G$15)+Budget!$H$19+Budget!$H$61+Budget!$H$72)</f>
        <v>414307.68914999999</v>
      </c>
    </row>
    <row r="19" spans="1:18" ht="19" customHeight="1" x14ac:dyDescent="0.35">
      <c r="A19" s="225"/>
      <c r="B19" s="252" t="s">
        <v>234</v>
      </c>
      <c r="C19" s="253"/>
      <c r="D19" s="253"/>
      <c r="E19" s="253"/>
      <c r="F19" s="253"/>
      <c r="G19" s="253"/>
      <c r="H19" s="253"/>
      <c r="I19" s="254"/>
    </row>
    <row r="20" spans="1:18" ht="16" customHeight="1" x14ac:dyDescent="0.35">
      <c r="A20" s="222" t="s">
        <v>231</v>
      </c>
      <c r="B20" s="255" t="s">
        <v>229</v>
      </c>
      <c r="C20" s="256"/>
      <c r="D20" s="224">
        <v>400</v>
      </c>
      <c r="E20" s="256" t="s">
        <v>114</v>
      </c>
      <c r="F20" s="256"/>
      <c r="G20" s="224">
        <v>200</v>
      </c>
      <c r="H20" s="221" t="s">
        <v>39</v>
      </c>
      <c r="I20" s="223">
        <f>D20+G20</f>
        <v>600</v>
      </c>
      <c r="K20" s="246"/>
      <c r="L20" s="246"/>
      <c r="M20" s="246"/>
      <c r="N20" s="246"/>
      <c r="O20" s="246"/>
      <c r="P20" s="246"/>
      <c r="Q20" s="246"/>
      <c r="R20" s="246"/>
    </row>
    <row r="21" spans="1:18" x14ac:dyDescent="0.35">
      <c r="A21" s="231">
        <f>A6</f>
        <v>0.4</v>
      </c>
      <c r="B21" s="50">
        <f>B6*Budget!$G$5*$G$20+$I$20*Budget!$G$9-($G$20*(Budget!$F$14*$D$2+Budget!$G$5*Budget!$G$15)+Budget!$H$19+Budget!$H$61+Budget!$H$72)</f>
        <v>-93326.310849999893</v>
      </c>
      <c r="C21" s="54">
        <f>C6*Budget!$G$5*$G$20+$I$20*Budget!$G$9-($G$20*(Budget!$F$14*$D$2+Budget!$G$5*Budget!$G$15)+Budget!$H$19+Budget!$H$61+Budget!$H$72)</f>
        <v>23433.689149999991</v>
      </c>
      <c r="D21" s="51">
        <f>D6*Budget!$G$5*$G$20+$I$20*Budget!$G$9-($G$20*(Budget!$F$14*$D$2+Budget!$G$5*Budget!$G$15)+Budget!$H$19+Budget!$H$61+Budget!$H$72)</f>
        <v>-45110.310850000009</v>
      </c>
      <c r="E21" s="51">
        <f>E6*Budget!$G$5*$G$20+$I$20*Budget!$G$9-($G$20*(Budget!$F$14*$D$2+Budget!$G$5*Budget!$G$15)+Budget!$H$19+Budget!$H$61+Budget!$H$72)</f>
        <v>95001.689149999991</v>
      </c>
      <c r="F21" s="51">
        <f>F6*Budget!$G$5*$G$20+$I$20*Budget!$G$9-($G$20*(Budget!$F$14*$D$2+Budget!$G$5*Budget!$G$15)+Budget!$H$19+Budget!$H$61+Budget!$H$72)</f>
        <v>-21002.310850000009</v>
      </c>
      <c r="G21" s="51">
        <f>G6*Budget!$G$5*$G$20+$I$20*Budget!$G$9-($G$20*(Budget!$F$14*$D$2+Budget!$G$5*Budget!$G$15)+Budget!$H$19+Budget!$H$61+Budget!$H$72)</f>
        <v>130785.68914999999</v>
      </c>
      <c r="H21" s="51">
        <f>H6*Budget!$G$5*$G$20+$I$20*Budget!$G$9-($G$20*(Budget!$F$14*$D$2+Budget!$G$5*Budget!$G$15)+Budget!$H$19+Budget!$H$61+Budget!$H$72)</f>
        <v>3105.6891499999911</v>
      </c>
      <c r="I21" s="125">
        <f>I6*Budget!$G$5*$G$20+$I$20*Budget!$G$9-($G$20*(Budget!$F$14*$D$2+Budget!$G$5*Budget!$G$15)+Budget!$H$19+Budget!$H$61+Budget!$H$72)</f>
        <v>166569.68914999999</v>
      </c>
    </row>
    <row r="22" spans="1:18" x14ac:dyDescent="0.35">
      <c r="A22" s="231">
        <f t="shared" ref="A22:A23" si="3">A7</f>
        <v>0.3</v>
      </c>
      <c r="B22" s="52">
        <f>B7*Budget!$G$5*$G$20+$I$20*Budget!$G$9-($G$20*(Budget!$F$14*$D$2+Budget!$G$5*Budget!$G$15)+Budget!$H$19+Budget!$H$61+Budget!$H$72)</f>
        <v>-53146.310850000009</v>
      </c>
      <c r="C22" s="55">
        <f>C7*Budget!$G$5*$G$20+$I$20*Budget!$G$9-($G$20*(Budget!$F$14*$D$2+Budget!$G$5*Budget!$G$15)+Budget!$H$19+Budget!$H$61+Budget!$H$72)</f>
        <v>83073.689149999991</v>
      </c>
      <c r="D22" s="53">
        <f>D7*Budget!$G$5*$G$20+$I$20*Budget!$G$9-($G$20*(Budget!$F$14*$D$2+Budget!$G$5*Budget!$G$15)+Budget!$H$19+Budget!$H$61+Budget!$H$72)</f>
        <v>3105.6891499999911</v>
      </c>
      <c r="E22" s="53">
        <f>E7*Budget!$G$5*$G$20+$I$20*Budget!$G$9-($G$20*(Budget!$F$14*$D$2+Budget!$G$5*Budget!$G$15)+Budget!$H$19+Budget!$H$61+Budget!$H$72)</f>
        <v>166569.68914999999</v>
      </c>
      <c r="F22" s="53">
        <f>F7*Budget!$G$5*$G$20+$I$20*Budget!$G$9-($G$20*(Budget!$F$14*$D$2+Budget!$G$5*Budget!$G$15)+Budget!$H$19+Budget!$H$61+Budget!$H$72)</f>
        <v>31231.689149999991</v>
      </c>
      <c r="G22" s="53">
        <f>G7*Budget!$G$5*$G$20+$I$20*Budget!$G$9-($G$20*(Budget!$F$14*$D$2+Budget!$G$5*Budget!$G$15)+Budget!$H$19+Budget!$H$61+Budget!$H$72)</f>
        <v>208317.68914999999</v>
      </c>
      <c r="H22" s="53">
        <f>H7*Budget!$G$5*$G$20+$I$20*Budget!$G$9-($G$20*(Budget!$F$14*$D$2+Budget!$G$5*Budget!$G$15)+Budget!$H$19+Budget!$H$61+Budget!$H$72)</f>
        <v>59357.689149999991</v>
      </c>
      <c r="I22" s="126">
        <f>I7*Budget!$G$5*$G$20+$I$20*Budget!$G$9-($G$20*(Budget!$F$14*$D$2+Budget!$G$5*Budget!$G$15)+Budget!$H$19+Budget!$H$61+Budget!$H$72)</f>
        <v>250065.68914999999</v>
      </c>
      <c r="L22" s="1"/>
    </row>
    <row r="23" spans="1:18" ht="15" thickBot="1" x14ac:dyDescent="0.4">
      <c r="A23" s="232">
        <f t="shared" si="3"/>
        <v>0.2</v>
      </c>
      <c r="B23" s="127">
        <f>B8*Budget!$G$5*$G$20+$I$20*Budget!$G$9-($G$20*(Budget!$F$14*$D$2+Budget!$G$5*Budget!$G$15)+Budget!$H$19+Budget!$H$61+Budget!$H$72)</f>
        <v>-12966.310849999893</v>
      </c>
      <c r="C23" s="129">
        <f>C8*Budget!$G$5*$G$20+$I$20*Budget!$G$9-($G$20*(Budget!$F$14*$D$2+Budget!$G$5*Budget!$G$15)+Budget!$H$19+Budget!$H$61+Budget!$H$72)</f>
        <v>142713.68914999999</v>
      </c>
      <c r="D23" s="128">
        <f>D8*Budget!$G$5*$G$20+$I$20*Budget!$G$9-($G$20*(Budget!$F$14*$D$2+Budget!$G$5*Budget!$G$15)+Budget!$H$19+Budget!$H$61+Budget!$H$72)</f>
        <v>51321.689150000107</v>
      </c>
      <c r="E23" s="128">
        <f>E8*Budget!$G$5*$G$20+$I$20*Budget!$G$9-($G$20*(Budget!$F$14*$D$2+Budget!$G$5*Budget!$G$15)+Budget!$H$19+Budget!$H$61+Budget!$H$72)</f>
        <v>238137.68914999999</v>
      </c>
      <c r="F23" s="128">
        <f>F8*Budget!$G$5*$G$20+$I$20*Budget!$G$9-($G$20*(Budget!$F$14*$D$2+Budget!$G$5*Budget!$G$15)+Budget!$H$19+Budget!$H$61+Budget!$H$72)</f>
        <v>83465.689149999991</v>
      </c>
      <c r="G23" s="128">
        <f>G8*Budget!$G$5*$G$20+$I$20*Budget!$G$9-($G$20*(Budget!$F$14*$D$2+Budget!$G$5*Budget!$G$15)+Budget!$H$19+Budget!$H$61+Budget!$H$72)</f>
        <v>285849.68914999999</v>
      </c>
      <c r="H23" s="128">
        <f>H8*Budget!$G$5*$G$20+$I$20*Budget!$G$9-($G$20*(Budget!$F$14*$D$2+Budget!$G$5*Budget!$G$15)+Budget!$H$19+Budget!$H$61+Budget!$H$72)</f>
        <v>115609.68914999999</v>
      </c>
      <c r="I23" s="130">
        <f>I8*Budget!$G$5*$G$20+$I$20*Budget!$G$9-($G$20*(Budget!$F$14*$D$2+Budget!$G$5*Budget!$G$15)+Budget!$H$19+Budget!$H$61+Budget!$H$72)</f>
        <v>333561.68914999999</v>
      </c>
    </row>
    <row r="25" spans="1:18" x14ac:dyDescent="0.35">
      <c r="A25" t="s">
        <v>108</v>
      </c>
    </row>
  </sheetData>
  <mergeCells count="12">
    <mergeCell ref="K20:R20"/>
    <mergeCell ref="B3:C3"/>
    <mergeCell ref="B5:I5"/>
    <mergeCell ref="B10:C10"/>
    <mergeCell ref="E10:F10"/>
    <mergeCell ref="B9:I9"/>
    <mergeCell ref="B14:I14"/>
    <mergeCell ref="B19:I19"/>
    <mergeCell ref="B15:C15"/>
    <mergeCell ref="E15:F15"/>
    <mergeCell ref="B20:C20"/>
    <mergeCell ref="E20:F2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F090C-BB9E-4B03-A52C-85FFD376B827}">
  <sheetPr>
    <pageSetUpPr fitToPage="1"/>
  </sheetPr>
  <dimension ref="A1:AI53"/>
  <sheetViews>
    <sheetView workbookViewId="0">
      <pane xSplit="2" topLeftCell="L1" activePane="topRight" state="frozen"/>
      <selection activeCell="A50" sqref="A50"/>
      <selection pane="topRight" activeCell="N7" sqref="N7"/>
    </sheetView>
  </sheetViews>
  <sheetFormatPr defaultColWidth="10.26953125" defaultRowHeight="15.5" x14ac:dyDescent="0.35"/>
  <cols>
    <col min="1" max="1" width="4.7265625" style="132" customWidth="1"/>
    <col min="2" max="2" width="15.26953125" style="132" customWidth="1"/>
    <col min="3" max="3" width="12.6328125" style="132" customWidth="1"/>
    <col min="4" max="4" width="11.81640625" style="132" bestFit="1" customWidth="1"/>
    <col min="5" max="5" width="11.36328125" style="132" customWidth="1"/>
    <col min="6" max="6" width="13.08984375" style="132" customWidth="1"/>
    <col min="7" max="7" width="12.6328125" style="132" customWidth="1"/>
    <col min="8" max="8" width="11.26953125" style="132" bestFit="1" customWidth="1"/>
    <col min="9" max="9" width="12.1796875" style="132" customWidth="1"/>
    <col min="10" max="11" width="13.36328125" style="132" bestFit="1" customWidth="1"/>
    <col min="12" max="12" width="13.90625" style="132" bestFit="1" customWidth="1"/>
    <col min="13" max="32" width="12.6328125" style="132" customWidth="1"/>
    <col min="33" max="33" width="11.26953125" style="132" customWidth="1"/>
    <col min="34" max="34" width="11.81640625" style="132" bestFit="1" customWidth="1"/>
    <col min="35" max="256" width="10.26953125" style="132"/>
    <col min="257" max="257" width="4.7265625" style="132" customWidth="1"/>
    <col min="258" max="258" width="15.26953125" style="132" customWidth="1"/>
    <col min="259" max="259" width="12.6328125" style="132" customWidth="1"/>
    <col min="260" max="260" width="11.81640625" style="132" bestFit="1" customWidth="1"/>
    <col min="261" max="261" width="11.36328125" style="132" customWidth="1"/>
    <col min="262" max="262" width="11.54296875" style="132" customWidth="1"/>
    <col min="263" max="263" width="12.6328125" style="132" customWidth="1"/>
    <col min="264" max="264" width="11.26953125" style="132" bestFit="1" customWidth="1"/>
    <col min="265" max="265" width="12.1796875" style="132" customWidth="1"/>
    <col min="266" max="267" width="13.36328125" style="132" bestFit="1" customWidth="1"/>
    <col min="268" max="268" width="13.90625" style="132" bestFit="1" customWidth="1"/>
    <col min="269" max="288" width="12.6328125" style="132" customWidth="1"/>
    <col min="289" max="289" width="11.26953125" style="132" customWidth="1"/>
    <col min="290" max="290" width="11.81640625" style="132" bestFit="1" customWidth="1"/>
    <col min="291" max="512" width="10.26953125" style="132"/>
    <col min="513" max="513" width="4.7265625" style="132" customWidth="1"/>
    <col min="514" max="514" width="15.26953125" style="132" customWidth="1"/>
    <col min="515" max="515" width="12.6328125" style="132" customWidth="1"/>
    <col min="516" max="516" width="11.81640625" style="132" bestFit="1" customWidth="1"/>
    <col min="517" max="517" width="11.36328125" style="132" customWidth="1"/>
    <col min="518" max="518" width="11.54296875" style="132" customWidth="1"/>
    <col min="519" max="519" width="12.6328125" style="132" customWidth="1"/>
    <col min="520" max="520" width="11.26953125" style="132" bestFit="1" customWidth="1"/>
    <col min="521" max="521" width="12.1796875" style="132" customWidth="1"/>
    <col min="522" max="523" width="13.36328125" style="132" bestFit="1" customWidth="1"/>
    <col min="524" max="524" width="13.90625" style="132" bestFit="1" customWidth="1"/>
    <col min="525" max="544" width="12.6328125" style="132" customWidth="1"/>
    <col min="545" max="545" width="11.26953125" style="132" customWidth="1"/>
    <col min="546" max="546" width="11.81640625" style="132" bestFit="1" customWidth="1"/>
    <col min="547" max="768" width="10.26953125" style="132"/>
    <col min="769" max="769" width="4.7265625" style="132" customWidth="1"/>
    <col min="770" max="770" width="15.26953125" style="132" customWidth="1"/>
    <col min="771" max="771" width="12.6328125" style="132" customWidth="1"/>
    <col min="772" max="772" width="11.81640625" style="132" bestFit="1" customWidth="1"/>
    <col min="773" max="773" width="11.36328125" style="132" customWidth="1"/>
    <col min="774" max="774" width="11.54296875" style="132" customWidth="1"/>
    <col min="775" max="775" width="12.6328125" style="132" customWidth="1"/>
    <col min="776" max="776" width="11.26953125" style="132" bestFit="1" customWidth="1"/>
    <col min="777" max="777" width="12.1796875" style="132" customWidth="1"/>
    <col min="778" max="779" width="13.36328125" style="132" bestFit="1" customWidth="1"/>
    <col min="780" max="780" width="13.90625" style="132" bestFit="1" customWidth="1"/>
    <col min="781" max="800" width="12.6328125" style="132" customWidth="1"/>
    <col min="801" max="801" width="11.26953125" style="132" customWidth="1"/>
    <col min="802" max="802" width="11.81640625" style="132" bestFit="1" customWidth="1"/>
    <col min="803" max="1024" width="10.26953125" style="132"/>
    <col min="1025" max="1025" width="4.7265625" style="132" customWidth="1"/>
    <col min="1026" max="1026" width="15.26953125" style="132" customWidth="1"/>
    <col min="1027" max="1027" width="12.6328125" style="132" customWidth="1"/>
    <col min="1028" max="1028" width="11.81640625" style="132" bestFit="1" customWidth="1"/>
    <col min="1029" max="1029" width="11.36328125" style="132" customWidth="1"/>
    <col min="1030" max="1030" width="11.54296875" style="132" customWidth="1"/>
    <col min="1031" max="1031" width="12.6328125" style="132" customWidth="1"/>
    <col min="1032" max="1032" width="11.26953125" style="132" bestFit="1" customWidth="1"/>
    <col min="1033" max="1033" width="12.1796875" style="132" customWidth="1"/>
    <col min="1034" max="1035" width="13.36328125" style="132" bestFit="1" customWidth="1"/>
    <col min="1036" max="1036" width="13.90625" style="132" bestFit="1" customWidth="1"/>
    <col min="1037" max="1056" width="12.6328125" style="132" customWidth="1"/>
    <col min="1057" max="1057" width="11.26953125" style="132" customWidth="1"/>
    <col min="1058" max="1058" width="11.81640625" style="132" bestFit="1" customWidth="1"/>
    <col min="1059" max="1280" width="10.26953125" style="132"/>
    <col min="1281" max="1281" width="4.7265625" style="132" customWidth="1"/>
    <col min="1282" max="1282" width="15.26953125" style="132" customWidth="1"/>
    <col min="1283" max="1283" width="12.6328125" style="132" customWidth="1"/>
    <col min="1284" max="1284" width="11.81640625" style="132" bestFit="1" customWidth="1"/>
    <col min="1285" max="1285" width="11.36328125" style="132" customWidth="1"/>
    <col min="1286" max="1286" width="11.54296875" style="132" customWidth="1"/>
    <col min="1287" max="1287" width="12.6328125" style="132" customWidth="1"/>
    <col min="1288" max="1288" width="11.26953125" style="132" bestFit="1" customWidth="1"/>
    <col min="1289" max="1289" width="12.1796875" style="132" customWidth="1"/>
    <col min="1290" max="1291" width="13.36328125" style="132" bestFit="1" customWidth="1"/>
    <col min="1292" max="1292" width="13.90625" style="132" bestFit="1" customWidth="1"/>
    <col min="1293" max="1312" width="12.6328125" style="132" customWidth="1"/>
    <col min="1313" max="1313" width="11.26953125" style="132" customWidth="1"/>
    <col min="1314" max="1314" width="11.81640625" style="132" bestFit="1" customWidth="1"/>
    <col min="1315" max="1536" width="10.26953125" style="132"/>
    <col min="1537" max="1537" width="4.7265625" style="132" customWidth="1"/>
    <col min="1538" max="1538" width="15.26953125" style="132" customWidth="1"/>
    <col min="1539" max="1539" width="12.6328125" style="132" customWidth="1"/>
    <col min="1540" max="1540" width="11.81640625" style="132" bestFit="1" customWidth="1"/>
    <col min="1541" max="1541" width="11.36328125" style="132" customWidth="1"/>
    <col min="1542" max="1542" width="11.54296875" style="132" customWidth="1"/>
    <col min="1543" max="1543" width="12.6328125" style="132" customWidth="1"/>
    <col min="1544" max="1544" width="11.26953125" style="132" bestFit="1" customWidth="1"/>
    <col min="1545" max="1545" width="12.1796875" style="132" customWidth="1"/>
    <col min="1546" max="1547" width="13.36328125" style="132" bestFit="1" customWidth="1"/>
    <col min="1548" max="1548" width="13.90625" style="132" bestFit="1" customWidth="1"/>
    <col min="1549" max="1568" width="12.6328125" style="132" customWidth="1"/>
    <col min="1569" max="1569" width="11.26953125" style="132" customWidth="1"/>
    <col min="1570" max="1570" width="11.81640625" style="132" bestFit="1" customWidth="1"/>
    <col min="1571" max="1792" width="10.26953125" style="132"/>
    <col min="1793" max="1793" width="4.7265625" style="132" customWidth="1"/>
    <col min="1794" max="1794" width="15.26953125" style="132" customWidth="1"/>
    <col min="1795" max="1795" width="12.6328125" style="132" customWidth="1"/>
    <col min="1796" max="1796" width="11.81640625" style="132" bestFit="1" customWidth="1"/>
    <col min="1797" max="1797" width="11.36328125" style="132" customWidth="1"/>
    <col min="1798" max="1798" width="11.54296875" style="132" customWidth="1"/>
    <col min="1799" max="1799" width="12.6328125" style="132" customWidth="1"/>
    <col min="1800" max="1800" width="11.26953125" style="132" bestFit="1" customWidth="1"/>
    <col min="1801" max="1801" width="12.1796875" style="132" customWidth="1"/>
    <col min="1802" max="1803" width="13.36328125" style="132" bestFit="1" customWidth="1"/>
    <col min="1804" max="1804" width="13.90625" style="132" bestFit="1" customWidth="1"/>
    <col min="1805" max="1824" width="12.6328125" style="132" customWidth="1"/>
    <col min="1825" max="1825" width="11.26953125" style="132" customWidth="1"/>
    <col min="1826" max="1826" width="11.81640625" style="132" bestFit="1" customWidth="1"/>
    <col min="1827" max="2048" width="10.26953125" style="132"/>
    <col min="2049" max="2049" width="4.7265625" style="132" customWidth="1"/>
    <col min="2050" max="2050" width="15.26953125" style="132" customWidth="1"/>
    <col min="2051" max="2051" width="12.6328125" style="132" customWidth="1"/>
    <col min="2052" max="2052" width="11.81640625" style="132" bestFit="1" customWidth="1"/>
    <col min="2053" max="2053" width="11.36328125" style="132" customWidth="1"/>
    <col min="2054" max="2054" width="11.54296875" style="132" customWidth="1"/>
    <col min="2055" max="2055" width="12.6328125" style="132" customWidth="1"/>
    <col min="2056" max="2056" width="11.26953125" style="132" bestFit="1" customWidth="1"/>
    <col min="2057" max="2057" width="12.1796875" style="132" customWidth="1"/>
    <col min="2058" max="2059" width="13.36328125" style="132" bestFit="1" customWidth="1"/>
    <col min="2060" max="2060" width="13.90625" style="132" bestFit="1" customWidth="1"/>
    <col min="2061" max="2080" width="12.6328125" style="132" customWidth="1"/>
    <col min="2081" max="2081" width="11.26953125" style="132" customWidth="1"/>
    <col min="2082" max="2082" width="11.81640625" style="132" bestFit="1" customWidth="1"/>
    <col min="2083" max="2304" width="10.26953125" style="132"/>
    <col min="2305" max="2305" width="4.7265625" style="132" customWidth="1"/>
    <col min="2306" max="2306" width="15.26953125" style="132" customWidth="1"/>
    <col min="2307" max="2307" width="12.6328125" style="132" customWidth="1"/>
    <col min="2308" max="2308" width="11.81640625" style="132" bestFit="1" customWidth="1"/>
    <col min="2309" max="2309" width="11.36328125" style="132" customWidth="1"/>
    <col min="2310" max="2310" width="11.54296875" style="132" customWidth="1"/>
    <col min="2311" max="2311" width="12.6328125" style="132" customWidth="1"/>
    <col min="2312" max="2312" width="11.26953125" style="132" bestFit="1" customWidth="1"/>
    <col min="2313" max="2313" width="12.1796875" style="132" customWidth="1"/>
    <col min="2314" max="2315" width="13.36328125" style="132" bestFit="1" customWidth="1"/>
    <col min="2316" max="2316" width="13.90625" style="132" bestFit="1" customWidth="1"/>
    <col min="2317" max="2336" width="12.6328125" style="132" customWidth="1"/>
    <col min="2337" max="2337" width="11.26953125" style="132" customWidth="1"/>
    <col min="2338" max="2338" width="11.81640625" style="132" bestFit="1" customWidth="1"/>
    <col min="2339" max="2560" width="10.26953125" style="132"/>
    <col min="2561" max="2561" width="4.7265625" style="132" customWidth="1"/>
    <col min="2562" max="2562" width="15.26953125" style="132" customWidth="1"/>
    <col min="2563" max="2563" width="12.6328125" style="132" customWidth="1"/>
    <col min="2564" max="2564" width="11.81640625" style="132" bestFit="1" customWidth="1"/>
    <col min="2565" max="2565" width="11.36328125" style="132" customWidth="1"/>
    <col min="2566" max="2566" width="11.54296875" style="132" customWidth="1"/>
    <col min="2567" max="2567" width="12.6328125" style="132" customWidth="1"/>
    <col min="2568" max="2568" width="11.26953125" style="132" bestFit="1" customWidth="1"/>
    <col min="2569" max="2569" width="12.1796875" style="132" customWidth="1"/>
    <col min="2570" max="2571" width="13.36328125" style="132" bestFit="1" customWidth="1"/>
    <col min="2572" max="2572" width="13.90625" style="132" bestFit="1" customWidth="1"/>
    <col min="2573" max="2592" width="12.6328125" style="132" customWidth="1"/>
    <col min="2593" max="2593" width="11.26953125" style="132" customWidth="1"/>
    <col min="2594" max="2594" width="11.81640625" style="132" bestFit="1" customWidth="1"/>
    <col min="2595" max="2816" width="10.26953125" style="132"/>
    <col min="2817" max="2817" width="4.7265625" style="132" customWidth="1"/>
    <col min="2818" max="2818" width="15.26953125" style="132" customWidth="1"/>
    <col min="2819" max="2819" width="12.6328125" style="132" customWidth="1"/>
    <col min="2820" max="2820" width="11.81640625" style="132" bestFit="1" customWidth="1"/>
    <col min="2821" max="2821" width="11.36328125" style="132" customWidth="1"/>
    <col min="2822" max="2822" width="11.54296875" style="132" customWidth="1"/>
    <col min="2823" max="2823" width="12.6328125" style="132" customWidth="1"/>
    <col min="2824" max="2824" width="11.26953125" style="132" bestFit="1" customWidth="1"/>
    <col min="2825" max="2825" width="12.1796875" style="132" customWidth="1"/>
    <col min="2826" max="2827" width="13.36328125" style="132" bestFit="1" customWidth="1"/>
    <col min="2828" max="2828" width="13.90625" style="132" bestFit="1" customWidth="1"/>
    <col min="2829" max="2848" width="12.6328125" style="132" customWidth="1"/>
    <col min="2849" max="2849" width="11.26953125" style="132" customWidth="1"/>
    <col min="2850" max="2850" width="11.81640625" style="132" bestFit="1" customWidth="1"/>
    <col min="2851" max="3072" width="10.26953125" style="132"/>
    <col min="3073" max="3073" width="4.7265625" style="132" customWidth="1"/>
    <col min="3074" max="3074" width="15.26953125" style="132" customWidth="1"/>
    <col min="3075" max="3075" width="12.6328125" style="132" customWidth="1"/>
    <col min="3076" max="3076" width="11.81640625" style="132" bestFit="1" customWidth="1"/>
    <col min="3077" max="3077" width="11.36328125" style="132" customWidth="1"/>
    <col min="3078" max="3078" width="11.54296875" style="132" customWidth="1"/>
    <col min="3079" max="3079" width="12.6328125" style="132" customWidth="1"/>
    <col min="3080" max="3080" width="11.26953125" style="132" bestFit="1" customWidth="1"/>
    <col min="3081" max="3081" width="12.1796875" style="132" customWidth="1"/>
    <col min="3082" max="3083" width="13.36328125" style="132" bestFit="1" customWidth="1"/>
    <col min="3084" max="3084" width="13.90625" style="132" bestFit="1" customWidth="1"/>
    <col min="3085" max="3104" width="12.6328125" style="132" customWidth="1"/>
    <col min="3105" max="3105" width="11.26953125" style="132" customWidth="1"/>
    <col min="3106" max="3106" width="11.81640625" style="132" bestFit="1" customWidth="1"/>
    <col min="3107" max="3328" width="10.26953125" style="132"/>
    <col min="3329" max="3329" width="4.7265625" style="132" customWidth="1"/>
    <col min="3330" max="3330" width="15.26953125" style="132" customWidth="1"/>
    <col min="3331" max="3331" width="12.6328125" style="132" customWidth="1"/>
    <col min="3332" max="3332" width="11.81640625" style="132" bestFit="1" customWidth="1"/>
    <col min="3333" max="3333" width="11.36328125" style="132" customWidth="1"/>
    <col min="3334" max="3334" width="11.54296875" style="132" customWidth="1"/>
    <col min="3335" max="3335" width="12.6328125" style="132" customWidth="1"/>
    <col min="3336" max="3336" width="11.26953125" style="132" bestFit="1" customWidth="1"/>
    <col min="3337" max="3337" width="12.1796875" style="132" customWidth="1"/>
    <col min="3338" max="3339" width="13.36328125" style="132" bestFit="1" customWidth="1"/>
    <col min="3340" max="3340" width="13.90625" style="132" bestFit="1" customWidth="1"/>
    <col min="3341" max="3360" width="12.6328125" style="132" customWidth="1"/>
    <col min="3361" max="3361" width="11.26953125" style="132" customWidth="1"/>
    <col min="3362" max="3362" width="11.81640625" style="132" bestFit="1" customWidth="1"/>
    <col min="3363" max="3584" width="10.26953125" style="132"/>
    <col min="3585" max="3585" width="4.7265625" style="132" customWidth="1"/>
    <col min="3586" max="3586" width="15.26953125" style="132" customWidth="1"/>
    <col min="3587" max="3587" width="12.6328125" style="132" customWidth="1"/>
    <col min="3588" max="3588" width="11.81640625" style="132" bestFit="1" customWidth="1"/>
    <col min="3589" max="3589" width="11.36328125" style="132" customWidth="1"/>
    <col min="3590" max="3590" width="11.54296875" style="132" customWidth="1"/>
    <col min="3591" max="3591" width="12.6328125" style="132" customWidth="1"/>
    <col min="3592" max="3592" width="11.26953125" style="132" bestFit="1" customWidth="1"/>
    <col min="3593" max="3593" width="12.1796875" style="132" customWidth="1"/>
    <col min="3594" max="3595" width="13.36328125" style="132" bestFit="1" customWidth="1"/>
    <col min="3596" max="3596" width="13.90625" style="132" bestFit="1" customWidth="1"/>
    <col min="3597" max="3616" width="12.6328125" style="132" customWidth="1"/>
    <col min="3617" max="3617" width="11.26953125" style="132" customWidth="1"/>
    <col min="3618" max="3618" width="11.81640625" style="132" bestFit="1" customWidth="1"/>
    <col min="3619" max="3840" width="10.26953125" style="132"/>
    <col min="3841" max="3841" width="4.7265625" style="132" customWidth="1"/>
    <col min="3842" max="3842" width="15.26953125" style="132" customWidth="1"/>
    <col min="3843" max="3843" width="12.6328125" style="132" customWidth="1"/>
    <col min="3844" max="3844" width="11.81640625" style="132" bestFit="1" customWidth="1"/>
    <col min="3845" max="3845" width="11.36328125" style="132" customWidth="1"/>
    <col min="3846" max="3846" width="11.54296875" style="132" customWidth="1"/>
    <col min="3847" max="3847" width="12.6328125" style="132" customWidth="1"/>
    <col min="3848" max="3848" width="11.26953125" style="132" bestFit="1" customWidth="1"/>
    <col min="3849" max="3849" width="12.1796875" style="132" customWidth="1"/>
    <col min="3850" max="3851" width="13.36328125" style="132" bestFit="1" customWidth="1"/>
    <col min="3852" max="3852" width="13.90625" style="132" bestFit="1" customWidth="1"/>
    <col min="3853" max="3872" width="12.6328125" style="132" customWidth="1"/>
    <col min="3873" max="3873" width="11.26953125" style="132" customWidth="1"/>
    <col min="3874" max="3874" width="11.81640625" style="132" bestFit="1" customWidth="1"/>
    <col min="3875" max="4096" width="10.26953125" style="132"/>
    <col min="4097" max="4097" width="4.7265625" style="132" customWidth="1"/>
    <col min="4098" max="4098" width="15.26953125" style="132" customWidth="1"/>
    <col min="4099" max="4099" width="12.6328125" style="132" customWidth="1"/>
    <col min="4100" max="4100" width="11.81640625" style="132" bestFit="1" customWidth="1"/>
    <col min="4101" max="4101" width="11.36328125" style="132" customWidth="1"/>
    <col min="4102" max="4102" width="11.54296875" style="132" customWidth="1"/>
    <col min="4103" max="4103" width="12.6328125" style="132" customWidth="1"/>
    <col min="4104" max="4104" width="11.26953125" style="132" bestFit="1" customWidth="1"/>
    <col min="4105" max="4105" width="12.1796875" style="132" customWidth="1"/>
    <col min="4106" max="4107" width="13.36328125" style="132" bestFit="1" customWidth="1"/>
    <col min="4108" max="4108" width="13.90625" style="132" bestFit="1" customWidth="1"/>
    <col min="4109" max="4128" width="12.6328125" style="132" customWidth="1"/>
    <col min="4129" max="4129" width="11.26953125" style="132" customWidth="1"/>
    <col min="4130" max="4130" width="11.81640625" style="132" bestFit="1" customWidth="1"/>
    <col min="4131" max="4352" width="10.26953125" style="132"/>
    <col min="4353" max="4353" width="4.7265625" style="132" customWidth="1"/>
    <col min="4354" max="4354" width="15.26953125" style="132" customWidth="1"/>
    <col min="4355" max="4355" width="12.6328125" style="132" customWidth="1"/>
    <col min="4356" max="4356" width="11.81640625" style="132" bestFit="1" customWidth="1"/>
    <col min="4357" max="4357" width="11.36328125" style="132" customWidth="1"/>
    <col min="4358" max="4358" width="11.54296875" style="132" customWidth="1"/>
    <col min="4359" max="4359" width="12.6328125" style="132" customWidth="1"/>
    <col min="4360" max="4360" width="11.26953125" style="132" bestFit="1" customWidth="1"/>
    <col min="4361" max="4361" width="12.1796875" style="132" customWidth="1"/>
    <col min="4362" max="4363" width="13.36328125" style="132" bestFit="1" customWidth="1"/>
    <col min="4364" max="4364" width="13.90625" style="132" bestFit="1" customWidth="1"/>
    <col min="4365" max="4384" width="12.6328125" style="132" customWidth="1"/>
    <col min="4385" max="4385" width="11.26953125" style="132" customWidth="1"/>
    <col min="4386" max="4386" width="11.81640625" style="132" bestFit="1" customWidth="1"/>
    <col min="4387" max="4608" width="10.26953125" style="132"/>
    <col min="4609" max="4609" width="4.7265625" style="132" customWidth="1"/>
    <col min="4610" max="4610" width="15.26953125" style="132" customWidth="1"/>
    <col min="4611" max="4611" width="12.6328125" style="132" customWidth="1"/>
    <col min="4612" max="4612" width="11.81640625" style="132" bestFit="1" customWidth="1"/>
    <col min="4613" max="4613" width="11.36328125" style="132" customWidth="1"/>
    <col min="4614" max="4614" width="11.54296875" style="132" customWidth="1"/>
    <col min="4615" max="4615" width="12.6328125" style="132" customWidth="1"/>
    <col min="4616" max="4616" width="11.26953125" style="132" bestFit="1" customWidth="1"/>
    <col min="4617" max="4617" width="12.1796875" style="132" customWidth="1"/>
    <col min="4618" max="4619" width="13.36328125" style="132" bestFit="1" customWidth="1"/>
    <col min="4620" max="4620" width="13.90625" style="132" bestFit="1" customWidth="1"/>
    <col min="4621" max="4640" width="12.6328125" style="132" customWidth="1"/>
    <col min="4641" max="4641" width="11.26953125" style="132" customWidth="1"/>
    <col min="4642" max="4642" width="11.81640625" style="132" bestFit="1" customWidth="1"/>
    <col min="4643" max="4864" width="10.26953125" style="132"/>
    <col min="4865" max="4865" width="4.7265625" style="132" customWidth="1"/>
    <col min="4866" max="4866" width="15.26953125" style="132" customWidth="1"/>
    <col min="4867" max="4867" width="12.6328125" style="132" customWidth="1"/>
    <col min="4868" max="4868" width="11.81640625" style="132" bestFit="1" customWidth="1"/>
    <col min="4869" max="4869" width="11.36328125" style="132" customWidth="1"/>
    <col min="4870" max="4870" width="11.54296875" style="132" customWidth="1"/>
    <col min="4871" max="4871" width="12.6328125" style="132" customWidth="1"/>
    <col min="4872" max="4872" width="11.26953125" style="132" bestFit="1" customWidth="1"/>
    <col min="4873" max="4873" width="12.1796875" style="132" customWidth="1"/>
    <col min="4874" max="4875" width="13.36328125" style="132" bestFit="1" customWidth="1"/>
    <col min="4876" max="4876" width="13.90625" style="132" bestFit="1" customWidth="1"/>
    <col min="4877" max="4896" width="12.6328125" style="132" customWidth="1"/>
    <col min="4897" max="4897" width="11.26953125" style="132" customWidth="1"/>
    <col min="4898" max="4898" width="11.81640625" style="132" bestFit="1" customWidth="1"/>
    <col min="4899" max="5120" width="10.26953125" style="132"/>
    <col min="5121" max="5121" width="4.7265625" style="132" customWidth="1"/>
    <col min="5122" max="5122" width="15.26953125" style="132" customWidth="1"/>
    <col min="5123" max="5123" width="12.6328125" style="132" customWidth="1"/>
    <col min="5124" max="5124" width="11.81640625" style="132" bestFit="1" customWidth="1"/>
    <col min="5125" max="5125" width="11.36328125" style="132" customWidth="1"/>
    <col min="5126" max="5126" width="11.54296875" style="132" customWidth="1"/>
    <col min="5127" max="5127" width="12.6328125" style="132" customWidth="1"/>
    <col min="5128" max="5128" width="11.26953125" style="132" bestFit="1" customWidth="1"/>
    <col min="5129" max="5129" width="12.1796875" style="132" customWidth="1"/>
    <col min="5130" max="5131" width="13.36328125" style="132" bestFit="1" customWidth="1"/>
    <col min="5132" max="5132" width="13.90625" style="132" bestFit="1" customWidth="1"/>
    <col min="5133" max="5152" width="12.6328125" style="132" customWidth="1"/>
    <col min="5153" max="5153" width="11.26953125" style="132" customWidth="1"/>
    <col min="5154" max="5154" width="11.81640625" style="132" bestFit="1" customWidth="1"/>
    <col min="5155" max="5376" width="10.26953125" style="132"/>
    <col min="5377" max="5377" width="4.7265625" style="132" customWidth="1"/>
    <col min="5378" max="5378" width="15.26953125" style="132" customWidth="1"/>
    <col min="5379" max="5379" width="12.6328125" style="132" customWidth="1"/>
    <col min="5380" max="5380" width="11.81640625" style="132" bestFit="1" customWidth="1"/>
    <col min="5381" max="5381" width="11.36328125" style="132" customWidth="1"/>
    <col min="5382" max="5382" width="11.54296875" style="132" customWidth="1"/>
    <col min="5383" max="5383" width="12.6328125" style="132" customWidth="1"/>
    <col min="5384" max="5384" width="11.26953125" style="132" bestFit="1" customWidth="1"/>
    <col min="5385" max="5385" width="12.1796875" style="132" customWidth="1"/>
    <col min="5386" max="5387" width="13.36328125" style="132" bestFit="1" customWidth="1"/>
    <col min="5388" max="5388" width="13.90625" style="132" bestFit="1" customWidth="1"/>
    <col min="5389" max="5408" width="12.6328125" style="132" customWidth="1"/>
    <col min="5409" max="5409" width="11.26953125" style="132" customWidth="1"/>
    <col min="5410" max="5410" width="11.81640625" style="132" bestFit="1" customWidth="1"/>
    <col min="5411" max="5632" width="10.26953125" style="132"/>
    <col min="5633" max="5633" width="4.7265625" style="132" customWidth="1"/>
    <col min="5634" max="5634" width="15.26953125" style="132" customWidth="1"/>
    <col min="5635" max="5635" width="12.6328125" style="132" customWidth="1"/>
    <col min="5636" max="5636" width="11.81640625" style="132" bestFit="1" customWidth="1"/>
    <col min="5637" max="5637" width="11.36328125" style="132" customWidth="1"/>
    <col min="5638" max="5638" width="11.54296875" style="132" customWidth="1"/>
    <col min="5639" max="5639" width="12.6328125" style="132" customWidth="1"/>
    <col min="5640" max="5640" width="11.26953125" style="132" bestFit="1" customWidth="1"/>
    <col min="5641" max="5641" width="12.1796875" style="132" customWidth="1"/>
    <col min="5642" max="5643" width="13.36328125" style="132" bestFit="1" customWidth="1"/>
    <col min="5644" max="5644" width="13.90625" style="132" bestFit="1" customWidth="1"/>
    <col min="5645" max="5664" width="12.6328125" style="132" customWidth="1"/>
    <col min="5665" max="5665" width="11.26953125" style="132" customWidth="1"/>
    <col min="5666" max="5666" width="11.81640625" style="132" bestFit="1" customWidth="1"/>
    <col min="5667" max="5888" width="10.26953125" style="132"/>
    <col min="5889" max="5889" width="4.7265625" style="132" customWidth="1"/>
    <col min="5890" max="5890" width="15.26953125" style="132" customWidth="1"/>
    <col min="5891" max="5891" width="12.6328125" style="132" customWidth="1"/>
    <col min="5892" max="5892" width="11.81640625" style="132" bestFit="1" customWidth="1"/>
    <col min="5893" max="5893" width="11.36328125" style="132" customWidth="1"/>
    <col min="5894" max="5894" width="11.54296875" style="132" customWidth="1"/>
    <col min="5895" max="5895" width="12.6328125" style="132" customWidth="1"/>
    <col min="5896" max="5896" width="11.26953125" style="132" bestFit="1" customWidth="1"/>
    <col min="5897" max="5897" width="12.1796875" style="132" customWidth="1"/>
    <col min="5898" max="5899" width="13.36328125" style="132" bestFit="1" customWidth="1"/>
    <col min="5900" max="5900" width="13.90625" style="132" bestFit="1" customWidth="1"/>
    <col min="5901" max="5920" width="12.6328125" style="132" customWidth="1"/>
    <col min="5921" max="5921" width="11.26953125" style="132" customWidth="1"/>
    <col min="5922" max="5922" width="11.81640625" style="132" bestFit="1" customWidth="1"/>
    <col min="5923" max="6144" width="10.26953125" style="132"/>
    <col min="6145" max="6145" width="4.7265625" style="132" customWidth="1"/>
    <col min="6146" max="6146" width="15.26953125" style="132" customWidth="1"/>
    <col min="6147" max="6147" width="12.6328125" style="132" customWidth="1"/>
    <col min="6148" max="6148" width="11.81640625" style="132" bestFit="1" customWidth="1"/>
    <col min="6149" max="6149" width="11.36328125" style="132" customWidth="1"/>
    <col min="6150" max="6150" width="11.54296875" style="132" customWidth="1"/>
    <col min="6151" max="6151" width="12.6328125" style="132" customWidth="1"/>
    <col min="6152" max="6152" width="11.26953125" style="132" bestFit="1" customWidth="1"/>
    <col min="6153" max="6153" width="12.1796875" style="132" customWidth="1"/>
    <col min="6154" max="6155" width="13.36328125" style="132" bestFit="1" customWidth="1"/>
    <col min="6156" max="6156" width="13.90625" style="132" bestFit="1" customWidth="1"/>
    <col min="6157" max="6176" width="12.6328125" style="132" customWidth="1"/>
    <col min="6177" max="6177" width="11.26953125" style="132" customWidth="1"/>
    <col min="6178" max="6178" width="11.81640625" style="132" bestFit="1" customWidth="1"/>
    <col min="6179" max="6400" width="10.26953125" style="132"/>
    <col min="6401" max="6401" width="4.7265625" style="132" customWidth="1"/>
    <col min="6402" max="6402" width="15.26953125" style="132" customWidth="1"/>
    <col min="6403" max="6403" width="12.6328125" style="132" customWidth="1"/>
    <col min="6404" max="6404" width="11.81640625" style="132" bestFit="1" customWidth="1"/>
    <col min="6405" max="6405" width="11.36328125" style="132" customWidth="1"/>
    <col min="6406" max="6406" width="11.54296875" style="132" customWidth="1"/>
    <col min="6407" max="6407" width="12.6328125" style="132" customWidth="1"/>
    <col min="6408" max="6408" width="11.26953125" style="132" bestFit="1" customWidth="1"/>
    <col min="6409" max="6409" width="12.1796875" style="132" customWidth="1"/>
    <col min="6410" max="6411" width="13.36328125" style="132" bestFit="1" customWidth="1"/>
    <col min="6412" max="6412" width="13.90625" style="132" bestFit="1" customWidth="1"/>
    <col min="6413" max="6432" width="12.6328125" style="132" customWidth="1"/>
    <col min="6433" max="6433" width="11.26953125" style="132" customWidth="1"/>
    <col min="6434" max="6434" width="11.81640625" style="132" bestFit="1" customWidth="1"/>
    <col min="6435" max="6656" width="10.26953125" style="132"/>
    <col min="6657" max="6657" width="4.7265625" style="132" customWidth="1"/>
    <col min="6658" max="6658" width="15.26953125" style="132" customWidth="1"/>
    <col min="6659" max="6659" width="12.6328125" style="132" customWidth="1"/>
    <col min="6660" max="6660" width="11.81640625" style="132" bestFit="1" customWidth="1"/>
    <col min="6661" max="6661" width="11.36328125" style="132" customWidth="1"/>
    <col min="6662" max="6662" width="11.54296875" style="132" customWidth="1"/>
    <col min="6663" max="6663" width="12.6328125" style="132" customWidth="1"/>
    <col min="6664" max="6664" width="11.26953125" style="132" bestFit="1" customWidth="1"/>
    <col min="6665" max="6665" width="12.1796875" style="132" customWidth="1"/>
    <col min="6666" max="6667" width="13.36328125" style="132" bestFit="1" customWidth="1"/>
    <col min="6668" max="6668" width="13.90625" style="132" bestFit="1" customWidth="1"/>
    <col min="6669" max="6688" width="12.6328125" style="132" customWidth="1"/>
    <col min="6689" max="6689" width="11.26953125" style="132" customWidth="1"/>
    <col min="6690" max="6690" width="11.81640625" style="132" bestFit="1" customWidth="1"/>
    <col min="6691" max="6912" width="10.26953125" style="132"/>
    <col min="6913" max="6913" width="4.7265625" style="132" customWidth="1"/>
    <col min="6914" max="6914" width="15.26953125" style="132" customWidth="1"/>
    <col min="6915" max="6915" width="12.6328125" style="132" customWidth="1"/>
    <col min="6916" max="6916" width="11.81640625" style="132" bestFit="1" customWidth="1"/>
    <col min="6917" max="6917" width="11.36328125" style="132" customWidth="1"/>
    <col min="6918" max="6918" width="11.54296875" style="132" customWidth="1"/>
    <col min="6919" max="6919" width="12.6328125" style="132" customWidth="1"/>
    <col min="6920" max="6920" width="11.26953125" style="132" bestFit="1" customWidth="1"/>
    <col min="6921" max="6921" width="12.1796875" style="132" customWidth="1"/>
    <col min="6922" max="6923" width="13.36328125" style="132" bestFit="1" customWidth="1"/>
    <col min="6924" max="6924" width="13.90625" style="132" bestFit="1" customWidth="1"/>
    <col min="6925" max="6944" width="12.6328125" style="132" customWidth="1"/>
    <col min="6945" max="6945" width="11.26953125" style="132" customWidth="1"/>
    <col min="6946" max="6946" width="11.81640625" style="132" bestFit="1" customWidth="1"/>
    <col min="6947" max="7168" width="10.26953125" style="132"/>
    <col min="7169" max="7169" width="4.7265625" style="132" customWidth="1"/>
    <col min="7170" max="7170" width="15.26953125" style="132" customWidth="1"/>
    <col min="7171" max="7171" width="12.6328125" style="132" customWidth="1"/>
    <col min="7172" max="7172" width="11.81640625" style="132" bestFit="1" customWidth="1"/>
    <col min="7173" max="7173" width="11.36328125" style="132" customWidth="1"/>
    <col min="7174" max="7174" width="11.54296875" style="132" customWidth="1"/>
    <col min="7175" max="7175" width="12.6328125" style="132" customWidth="1"/>
    <col min="7176" max="7176" width="11.26953125" style="132" bestFit="1" customWidth="1"/>
    <col min="7177" max="7177" width="12.1796875" style="132" customWidth="1"/>
    <col min="7178" max="7179" width="13.36328125" style="132" bestFit="1" customWidth="1"/>
    <col min="7180" max="7180" width="13.90625" style="132" bestFit="1" customWidth="1"/>
    <col min="7181" max="7200" width="12.6328125" style="132" customWidth="1"/>
    <col min="7201" max="7201" width="11.26953125" style="132" customWidth="1"/>
    <col min="7202" max="7202" width="11.81640625" style="132" bestFit="1" customWidth="1"/>
    <col min="7203" max="7424" width="10.26953125" style="132"/>
    <col min="7425" max="7425" width="4.7265625" style="132" customWidth="1"/>
    <col min="7426" max="7426" width="15.26953125" style="132" customWidth="1"/>
    <col min="7427" max="7427" width="12.6328125" style="132" customWidth="1"/>
    <col min="7428" max="7428" width="11.81640625" style="132" bestFit="1" customWidth="1"/>
    <col min="7429" max="7429" width="11.36328125" style="132" customWidth="1"/>
    <col min="7430" max="7430" width="11.54296875" style="132" customWidth="1"/>
    <col min="7431" max="7431" width="12.6328125" style="132" customWidth="1"/>
    <col min="7432" max="7432" width="11.26953125" style="132" bestFit="1" customWidth="1"/>
    <col min="7433" max="7433" width="12.1796875" style="132" customWidth="1"/>
    <col min="7434" max="7435" width="13.36328125" style="132" bestFit="1" customWidth="1"/>
    <col min="7436" max="7436" width="13.90625" style="132" bestFit="1" customWidth="1"/>
    <col min="7437" max="7456" width="12.6328125" style="132" customWidth="1"/>
    <col min="7457" max="7457" width="11.26953125" style="132" customWidth="1"/>
    <col min="7458" max="7458" width="11.81640625" style="132" bestFit="1" customWidth="1"/>
    <col min="7459" max="7680" width="10.26953125" style="132"/>
    <col min="7681" max="7681" width="4.7265625" style="132" customWidth="1"/>
    <col min="7682" max="7682" width="15.26953125" style="132" customWidth="1"/>
    <col min="7683" max="7683" width="12.6328125" style="132" customWidth="1"/>
    <col min="7684" max="7684" width="11.81640625" style="132" bestFit="1" customWidth="1"/>
    <col min="7685" max="7685" width="11.36328125" style="132" customWidth="1"/>
    <col min="7686" max="7686" width="11.54296875" style="132" customWidth="1"/>
    <col min="7687" max="7687" width="12.6328125" style="132" customWidth="1"/>
    <col min="7688" max="7688" width="11.26953125" style="132" bestFit="1" customWidth="1"/>
    <col min="7689" max="7689" width="12.1796875" style="132" customWidth="1"/>
    <col min="7690" max="7691" width="13.36328125" style="132" bestFit="1" customWidth="1"/>
    <col min="7692" max="7692" width="13.90625" style="132" bestFit="1" customWidth="1"/>
    <col min="7693" max="7712" width="12.6328125" style="132" customWidth="1"/>
    <col min="7713" max="7713" width="11.26953125" style="132" customWidth="1"/>
    <col min="7714" max="7714" width="11.81640625" style="132" bestFit="1" customWidth="1"/>
    <col min="7715" max="7936" width="10.26953125" style="132"/>
    <col min="7937" max="7937" width="4.7265625" style="132" customWidth="1"/>
    <col min="7938" max="7938" width="15.26953125" style="132" customWidth="1"/>
    <col min="7939" max="7939" width="12.6328125" style="132" customWidth="1"/>
    <col min="7940" max="7940" width="11.81640625" style="132" bestFit="1" customWidth="1"/>
    <col min="7941" max="7941" width="11.36328125" style="132" customWidth="1"/>
    <col min="7942" max="7942" width="11.54296875" style="132" customWidth="1"/>
    <col min="7943" max="7943" width="12.6328125" style="132" customWidth="1"/>
    <col min="7944" max="7944" width="11.26953125" style="132" bestFit="1" customWidth="1"/>
    <col min="7945" max="7945" width="12.1796875" style="132" customWidth="1"/>
    <col min="7946" max="7947" width="13.36328125" style="132" bestFit="1" customWidth="1"/>
    <col min="7948" max="7948" width="13.90625" style="132" bestFit="1" customWidth="1"/>
    <col min="7949" max="7968" width="12.6328125" style="132" customWidth="1"/>
    <col min="7969" max="7969" width="11.26953125" style="132" customWidth="1"/>
    <col min="7970" max="7970" width="11.81640625" style="132" bestFit="1" customWidth="1"/>
    <col min="7971" max="8192" width="10.26953125" style="132"/>
    <col min="8193" max="8193" width="4.7265625" style="132" customWidth="1"/>
    <col min="8194" max="8194" width="15.26953125" style="132" customWidth="1"/>
    <col min="8195" max="8195" width="12.6328125" style="132" customWidth="1"/>
    <col min="8196" max="8196" width="11.81640625" style="132" bestFit="1" customWidth="1"/>
    <col min="8197" max="8197" width="11.36328125" style="132" customWidth="1"/>
    <col min="8198" max="8198" width="11.54296875" style="132" customWidth="1"/>
    <col min="8199" max="8199" width="12.6328125" style="132" customWidth="1"/>
    <col min="8200" max="8200" width="11.26953125" style="132" bestFit="1" customWidth="1"/>
    <col min="8201" max="8201" width="12.1796875" style="132" customWidth="1"/>
    <col min="8202" max="8203" width="13.36328125" style="132" bestFit="1" customWidth="1"/>
    <col min="8204" max="8204" width="13.90625" style="132" bestFit="1" customWidth="1"/>
    <col min="8205" max="8224" width="12.6328125" style="132" customWidth="1"/>
    <col min="8225" max="8225" width="11.26953125" style="132" customWidth="1"/>
    <col min="8226" max="8226" width="11.81640625" style="132" bestFit="1" customWidth="1"/>
    <col min="8227" max="8448" width="10.26953125" style="132"/>
    <col min="8449" max="8449" width="4.7265625" style="132" customWidth="1"/>
    <col min="8450" max="8450" width="15.26953125" style="132" customWidth="1"/>
    <col min="8451" max="8451" width="12.6328125" style="132" customWidth="1"/>
    <col min="8452" max="8452" width="11.81640625" style="132" bestFit="1" customWidth="1"/>
    <col min="8453" max="8453" width="11.36328125" style="132" customWidth="1"/>
    <col min="8454" max="8454" width="11.54296875" style="132" customWidth="1"/>
    <col min="8455" max="8455" width="12.6328125" style="132" customWidth="1"/>
    <col min="8456" max="8456" width="11.26953125" style="132" bestFit="1" customWidth="1"/>
    <col min="8457" max="8457" width="12.1796875" style="132" customWidth="1"/>
    <col min="8458" max="8459" width="13.36328125" style="132" bestFit="1" customWidth="1"/>
    <col min="8460" max="8460" width="13.90625" style="132" bestFit="1" customWidth="1"/>
    <col min="8461" max="8480" width="12.6328125" style="132" customWidth="1"/>
    <col min="8481" max="8481" width="11.26953125" style="132" customWidth="1"/>
    <col min="8482" max="8482" width="11.81640625" style="132" bestFit="1" customWidth="1"/>
    <col min="8483" max="8704" width="10.26953125" style="132"/>
    <col min="8705" max="8705" width="4.7265625" style="132" customWidth="1"/>
    <col min="8706" max="8706" width="15.26953125" style="132" customWidth="1"/>
    <col min="8707" max="8707" width="12.6328125" style="132" customWidth="1"/>
    <col min="8708" max="8708" width="11.81640625" style="132" bestFit="1" customWidth="1"/>
    <col min="8709" max="8709" width="11.36328125" style="132" customWidth="1"/>
    <col min="8710" max="8710" width="11.54296875" style="132" customWidth="1"/>
    <col min="8711" max="8711" width="12.6328125" style="132" customWidth="1"/>
    <col min="8712" max="8712" width="11.26953125" style="132" bestFit="1" customWidth="1"/>
    <col min="8713" max="8713" width="12.1796875" style="132" customWidth="1"/>
    <col min="8714" max="8715" width="13.36328125" style="132" bestFit="1" customWidth="1"/>
    <col min="8716" max="8716" width="13.90625" style="132" bestFit="1" customWidth="1"/>
    <col min="8717" max="8736" width="12.6328125" style="132" customWidth="1"/>
    <col min="8737" max="8737" width="11.26953125" style="132" customWidth="1"/>
    <col min="8738" max="8738" width="11.81640625" style="132" bestFit="1" customWidth="1"/>
    <col min="8739" max="8960" width="10.26953125" style="132"/>
    <col min="8961" max="8961" width="4.7265625" style="132" customWidth="1"/>
    <col min="8962" max="8962" width="15.26953125" style="132" customWidth="1"/>
    <col min="8963" max="8963" width="12.6328125" style="132" customWidth="1"/>
    <col min="8964" max="8964" width="11.81640625" style="132" bestFit="1" customWidth="1"/>
    <col min="8965" max="8965" width="11.36328125" style="132" customWidth="1"/>
    <col min="8966" max="8966" width="11.54296875" style="132" customWidth="1"/>
    <col min="8967" max="8967" width="12.6328125" style="132" customWidth="1"/>
    <col min="8968" max="8968" width="11.26953125" style="132" bestFit="1" customWidth="1"/>
    <col min="8969" max="8969" width="12.1796875" style="132" customWidth="1"/>
    <col min="8970" max="8971" width="13.36328125" style="132" bestFit="1" customWidth="1"/>
    <col min="8972" max="8972" width="13.90625" style="132" bestFit="1" customWidth="1"/>
    <col min="8973" max="8992" width="12.6328125" style="132" customWidth="1"/>
    <col min="8993" max="8993" width="11.26953125" style="132" customWidth="1"/>
    <col min="8994" max="8994" width="11.81640625" style="132" bestFit="1" customWidth="1"/>
    <col min="8995" max="9216" width="10.26953125" style="132"/>
    <col min="9217" max="9217" width="4.7265625" style="132" customWidth="1"/>
    <col min="9218" max="9218" width="15.26953125" style="132" customWidth="1"/>
    <col min="9219" max="9219" width="12.6328125" style="132" customWidth="1"/>
    <col min="9220" max="9220" width="11.81640625" style="132" bestFit="1" customWidth="1"/>
    <col min="9221" max="9221" width="11.36328125" style="132" customWidth="1"/>
    <col min="9222" max="9222" width="11.54296875" style="132" customWidth="1"/>
    <col min="9223" max="9223" width="12.6328125" style="132" customWidth="1"/>
    <col min="9224" max="9224" width="11.26953125" style="132" bestFit="1" customWidth="1"/>
    <col min="9225" max="9225" width="12.1796875" style="132" customWidth="1"/>
    <col min="9226" max="9227" width="13.36328125" style="132" bestFit="1" customWidth="1"/>
    <col min="9228" max="9228" width="13.90625" style="132" bestFit="1" customWidth="1"/>
    <col min="9229" max="9248" width="12.6328125" style="132" customWidth="1"/>
    <col min="9249" max="9249" width="11.26953125" style="132" customWidth="1"/>
    <col min="9250" max="9250" width="11.81640625" style="132" bestFit="1" customWidth="1"/>
    <col min="9251" max="9472" width="10.26953125" style="132"/>
    <col min="9473" max="9473" width="4.7265625" style="132" customWidth="1"/>
    <col min="9474" max="9474" width="15.26953125" style="132" customWidth="1"/>
    <col min="9475" max="9475" width="12.6328125" style="132" customWidth="1"/>
    <col min="9476" max="9476" width="11.81640625" style="132" bestFit="1" customWidth="1"/>
    <col min="9477" max="9477" width="11.36328125" style="132" customWidth="1"/>
    <col min="9478" max="9478" width="11.54296875" style="132" customWidth="1"/>
    <col min="9479" max="9479" width="12.6328125" style="132" customWidth="1"/>
    <col min="9480" max="9480" width="11.26953125" style="132" bestFit="1" customWidth="1"/>
    <col min="9481" max="9481" width="12.1796875" style="132" customWidth="1"/>
    <col min="9482" max="9483" width="13.36328125" style="132" bestFit="1" customWidth="1"/>
    <col min="9484" max="9484" width="13.90625" style="132" bestFit="1" customWidth="1"/>
    <col min="9485" max="9504" width="12.6328125" style="132" customWidth="1"/>
    <col min="9505" max="9505" width="11.26953125" style="132" customWidth="1"/>
    <col min="9506" max="9506" width="11.81640625" style="132" bestFit="1" customWidth="1"/>
    <col min="9507" max="9728" width="10.26953125" style="132"/>
    <col min="9729" max="9729" width="4.7265625" style="132" customWidth="1"/>
    <col min="9730" max="9730" width="15.26953125" style="132" customWidth="1"/>
    <col min="9731" max="9731" width="12.6328125" style="132" customWidth="1"/>
    <col min="9732" max="9732" width="11.81640625" style="132" bestFit="1" customWidth="1"/>
    <col min="9733" max="9733" width="11.36328125" style="132" customWidth="1"/>
    <col min="9734" max="9734" width="11.54296875" style="132" customWidth="1"/>
    <col min="9735" max="9735" width="12.6328125" style="132" customWidth="1"/>
    <col min="9736" max="9736" width="11.26953125" style="132" bestFit="1" customWidth="1"/>
    <col min="9737" max="9737" width="12.1796875" style="132" customWidth="1"/>
    <col min="9738" max="9739" width="13.36328125" style="132" bestFit="1" customWidth="1"/>
    <col min="9740" max="9740" width="13.90625" style="132" bestFit="1" customWidth="1"/>
    <col min="9741" max="9760" width="12.6328125" style="132" customWidth="1"/>
    <col min="9761" max="9761" width="11.26953125" style="132" customWidth="1"/>
    <col min="9762" max="9762" width="11.81640625" style="132" bestFit="1" customWidth="1"/>
    <col min="9763" max="9984" width="10.26953125" style="132"/>
    <col min="9985" max="9985" width="4.7265625" style="132" customWidth="1"/>
    <col min="9986" max="9986" width="15.26953125" style="132" customWidth="1"/>
    <col min="9987" max="9987" width="12.6328125" style="132" customWidth="1"/>
    <col min="9988" max="9988" width="11.81640625" style="132" bestFit="1" customWidth="1"/>
    <col min="9989" max="9989" width="11.36328125" style="132" customWidth="1"/>
    <col min="9990" max="9990" width="11.54296875" style="132" customWidth="1"/>
    <col min="9991" max="9991" width="12.6328125" style="132" customWidth="1"/>
    <col min="9992" max="9992" width="11.26953125" style="132" bestFit="1" customWidth="1"/>
    <col min="9993" max="9993" width="12.1796875" style="132" customWidth="1"/>
    <col min="9994" max="9995" width="13.36328125" style="132" bestFit="1" customWidth="1"/>
    <col min="9996" max="9996" width="13.90625" style="132" bestFit="1" customWidth="1"/>
    <col min="9997" max="10016" width="12.6328125" style="132" customWidth="1"/>
    <col min="10017" max="10017" width="11.26953125" style="132" customWidth="1"/>
    <col min="10018" max="10018" width="11.81640625" style="132" bestFit="1" customWidth="1"/>
    <col min="10019" max="10240" width="10.26953125" style="132"/>
    <col min="10241" max="10241" width="4.7265625" style="132" customWidth="1"/>
    <col min="10242" max="10242" width="15.26953125" style="132" customWidth="1"/>
    <col min="10243" max="10243" width="12.6328125" style="132" customWidth="1"/>
    <col min="10244" max="10244" width="11.81640625" style="132" bestFit="1" customWidth="1"/>
    <col min="10245" max="10245" width="11.36328125" style="132" customWidth="1"/>
    <col min="10246" max="10246" width="11.54296875" style="132" customWidth="1"/>
    <col min="10247" max="10247" width="12.6328125" style="132" customWidth="1"/>
    <col min="10248" max="10248" width="11.26953125" style="132" bestFit="1" customWidth="1"/>
    <col min="10249" max="10249" width="12.1796875" style="132" customWidth="1"/>
    <col min="10250" max="10251" width="13.36328125" style="132" bestFit="1" customWidth="1"/>
    <col min="10252" max="10252" width="13.90625" style="132" bestFit="1" customWidth="1"/>
    <col min="10253" max="10272" width="12.6328125" style="132" customWidth="1"/>
    <col min="10273" max="10273" width="11.26953125" style="132" customWidth="1"/>
    <col min="10274" max="10274" width="11.81640625" style="132" bestFit="1" customWidth="1"/>
    <col min="10275" max="10496" width="10.26953125" style="132"/>
    <col min="10497" max="10497" width="4.7265625" style="132" customWidth="1"/>
    <col min="10498" max="10498" width="15.26953125" style="132" customWidth="1"/>
    <col min="10499" max="10499" width="12.6328125" style="132" customWidth="1"/>
    <col min="10500" max="10500" width="11.81640625" style="132" bestFit="1" customWidth="1"/>
    <col min="10501" max="10501" width="11.36328125" style="132" customWidth="1"/>
    <col min="10502" max="10502" width="11.54296875" style="132" customWidth="1"/>
    <col min="10503" max="10503" width="12.6328125" style="132" customWidth="1"/>
    <col min="10504" max="10504" width="11.26953125" style="132" bestFit="1" customWidth="1"/>
    <col min="10505" max="10505" width="12.1796875" style="132" customWidth="1"/>
    <col min="10506" max="10507" width="13.36328125" style="132" bestFit="1" customWidth="1"/>
    <col min="10508" max="10508" width="13.90625" style="132" bestFit="1" customWidth="1"/>
    <col min="10509" max="10528" width="12.6328125" style="132" customWidth="1"/>
    <col min="10529" max="10529" width="11.26953125" style="132" customWidth="1"/>
    <col min="10530" max="10530" width="11.81640625" style="132" bestFit="1" customWidth="1"/>
    <col min="10531" max="10752" width="10.26953125" style="132"/>
    <col min="10753" max="10753" width="4.7265625" style="132" customWidth="1"/>
    <col min="10754" max="10754" width="15.26953125" style="132" customWidth="1"/>
    <col min="10755" max="10755" width="12.6328125" style="132" customWidth="1"/>
    <col min="10756" max="10756" width="11.81640625" style="132" bestFit="1" customWidth="1"/>
    <col min="10757" max="10757" width="11.36328125" style="132" customWidth="1"/>
    <col min="10758" max="10758" width="11.54296875" style="132" customWidth="1"/>
    <col min="10759" max="10759" width="12.6328125" style="132" customWidth="1"/>
    <col min="10760" max="10760" width="11.26953125" style="132" bestFit="1" customWidth="1"/>
    <col min="10761" max="10761" width="12.1796875" style="132" customWidth="1"/>
    <col min="10762" max="10763" width="13.36328125" style="132" bestFit="1" customWidth="1"/>
    <col min="10764" max="10764" width="13.90625" style="132" bestFit="1" customWidth="1"/>
    <col min="10765" max="10784" width="12.6328125" style="132" customWidth="1"/>
    <col min="10785" max="10785" width="11.26953125" style="132" customWidth="1"/>
    <col min="10786" max="10786" width="11.81640625" style="132" bestFit="1" customWidth="1"/>
    <col min="10787" max="11008" width="10.26953125" style="132"/>
    <col min="11009" max="11009" width="4.7265625" style="132" customWidth="1"/>
    <col min="11010" max="11010" width="15.26953125" style="132" customWidth="1"/>
    <col min="11011" max="11011" width="12.6328125" style="132" customWidth="1"/>
    <col min="11012" max="11012" width="11.81640625" style="132" bestFit="1" customWidth="1"/>
    <col min="11013" max="11013" width="11.36328125" style="132" customWidth="1"/>
    <col min="11014" max="11014" width="11.54296875" style="132" customWidth="1"/>
    <col min="11015" max="11015" width="12.6328125" style="132" customWidth="1"/>
    <col min="11016" max="11016" width="11.26953125" style="132" bestFit="1" customWidth="1"/>
    <col min="11017" max="11017" width="12.1796875" style="132" customWidth="1"/>
    <col min="11018" max="11019" width="13.36328125" style="132" bestFit="1" customWidth="1"/>
    <col min="11020" max="11020" width="13.90625" style="132" bestFit="1" customWidth="1"/>
    <col min="11021" max="11040" width="12.6328125" style="132" customWidth="1"/>
    <col min="11041" max="11041" width="11.26953125" style="132" customWidth="1"/>
    <col min="11042" max="11042" width="11.81640625" style="132" bestFit="1" customWidth="1"/>
    <col min="11043" max="11264" width="10.26953125" style="132"/>
    <col min="11265" max="11265" width="4.7265625" style="132" customWidth="1"/>
    <col min="11266" max="11266" width="15.26953125" style="132" customWidth="1"/>
    <col min="11267" max="11267" width="12.6328125" style="132" customWidth="1"/>
    <col min="11268" max="11268" width="11.81640625" style="132" bestFit="1" customWidth="1"/>
    <col min="11269" max="11269" width="11.36328125" style="132" customWidth="1"/>
    <col min="11270" max="11270" width="11.54296875" style="132" customWidth="1"/>
    <col min="11271" max="11271" width="12.6328125" style="132" customWidth="1"/>
    <col min="11272" max="11272" width="11.26953125" style="132" bestFit="1" customWidth="1"/>
    <col min="11273" max="11273" width="12.1796875" style="132" customWidth="1"/>
    <col min="11274" max="11275" width="13.36328125" style="132" bestFit="1" customWidth="1"/>
    <col min="11276" max="11276" width="13.90625" style="132" bestFit="1" customWidth="1"/>
    <col min="11277" max="11296" width="12.6328125" style="132" customWidth="1"/>
    <col min="11297" max="11297" width="11.26953125" style="132" customWidth="1"/>
    <col min="11298" max="11298" width="11.81640625" style="132" bestFit="1" customWidth="1"/>
    <col min="11299" max="11520" width="10.26953125" style="132"/>
    <col min="11521" max="11521" width="4.7265625" style="132" customWidth="1"/>
    <col min="11522" max="11522" width="15.26953125" style="132" customWidth="1"/>
    <col min="11523" max="11523" width="12.6328125" style="132" customWidth="1"/>
    <col min="11524" max="11524" width="11.81640625" style="132" bestFit="1" customWidth="1"/>
    <col min="11525" max="11525" width="11.36328125" style="132" customWidth="1"/>
    <col min="11526" max="11526" width="11.54296875" style="132" customWidth="1"/>
    <col min="11527" max="11527" width="12.6328125" style="132" customWidth="1"/>
    <col min="11528" max="11528" width="11.26953125" style="132" bestFit="1" customWidth="1"/>
    <col min="11529" max="11529" width="12.1796875" style="132" customWidth="1"/>
    <col min="11530" max="11531" width="13.36328125" style="132" bestFit="1" customWidth="1"/>
    <col min="11532" max="11532" width="13.90625" style="132" bestFit="1" customWidth="1"/>
    <col min="11533" max="11552" width="12.6328125" style="132" customWidth="1"/>
    <col min="11553" max="11553" width="11.26953125" style="132" customWidth="1"/>
    <col min="11554" max="11554" width="11.81640625" style="132" bestFit="1" customWidth="1"/>
    <col min="11555" max="11776" width="10.26953125" style="132"/>
    <col min="11777" max="11777" width="4.7265625" style="132" customWidth="1"/>
    <col min="11778" max="11778" width="15.26953125" style="132" customWidth="1"/>
    <col min="11779" max="11779" width="12.6328125" style="132" customWidth="1"/>
    <col min="11780" max="11780" width="11.81640625" style="132" bestFit="1" customWidth="1"/>
    <col min="11781" max="11781" width="11.36328125" style="132" customWidth="1"/>
    <col min="11782" max="11782" width="11.54296875" style="132" customWidth="1"/>
    <col min="11783" max="11783" width="12.6328125" style="132" customWidth="1"/>
    <col min="11784" max="11784" width="11.26953125" style="132" bestFit="1" customWidth="1"/>
    <col min="11785" max="11785" width="12.1796875" style="132" customWidth="1"/>
    <col min="11786" max="11787" width="13.36328125" style="132" bestFit="1" customWidth="1"/>
    <col min="11788" max="11788" width="13.90625" style="132" bestFit="1" customWidth="1"/>
    <col min="11789" max="11808" width="12.6328125" style="132" customWidth="1"/>
    <col min="11809" max="11809" width="11.26953125" style="132" customWidth="1"/>
    <col min="11810" max="11810" width="11.81640625" style="132" bestFit="1" customWidth="1"/>
    <col min="11811" max="12032" width="10.26953125" style="132"/>
    <col min="12033" max="12033" width="4.7265625" style="132" customWidth="1"/>
    <col min="12034" max="12034" width="15.26953125" style="132" customWidth="1"/>
    <col min="12035" max="12035" width="12.6328125" style="132" customWidth="1"/>
    <col min="12036" max="12036" width="11.81640625" style="132" bestFit="1" customWidth="1"/>
    <col min="12037" max="12037" width="11.36328125" style="132" customWidth="1"/>
    <col min="12038" max="12038" width="11.54296875" style="132" customWidth="1"/>
    <col min="12039" max="12039" width="12.6328125" style="132" customWidth="1"/>
    <col min="12040" max="12040" width="11.26953125" style="132" bestFit="1" customWidth="1"/>
    <col min="12041" max="12041" width="12.1796875" style="132" customWidth="1"/>
    <col min="12042" max="12043" width="13.36328125" style="132" bestFit="1" customWidth="1"/>
    <col min="12044" max="12044" width="13.90625" style="132" bestFit="1" customWidth="1"/>
    <col min="12045" max="12064" width="12.6328125" style="132" customWidth="1"/>
    <col min="12065" max="12065" width="11.26953125" style="132" customWidth="1"/>
    <col min="12066" max="12066" width="11.81640625" style="132" bestFit="1" customWidth="1"/>
    <col min="12067" max="12288" width="10.26953125" style="132"/>
    <col min="12289" max="12289" width="4.7265625" style="132" customWidth="1"/>
    <col min="12290" max="12290" width="15.26953125" style="132" customWidth="1"/>
    <col min="12291" max="12291" width="12.6328125" style="132" customWidth="1"/>
    <col min="12292" max="12292" width="11.81640625" style="132" bestFit="1" customWidth="1"/>
    <col min="12293" max="12293" width="11.36328125" style="132" customWidth="1"/>
    <col min="12294" max="12294" width="11.54296875" style="132" customWidth="1"/>
    <col min="12295" max="12295" width="12.6328125" style="132" customWidth="1"/>
    <col min="12296" max="12296" width="11.26953125" style="132" bestFit="1" customWidth="1"/>
    <col min="12297" max="12297" width="12.1796875" style="132" customWidth="1"/>
    <col min="12298" max="12299" width="13.36328125" style="132" bestFit="1" customWidth="1"/>
    <col min="12300" max="12300" width="13.90625" style="132" bestFit="1" customWidth="1"/>
    <col min="12301" max="12320" width="12.6328125" style="132" customWidth="1"/>
    <col min="12321" max="12321" width="11.26953125" style="132" customWidth="1"/>
    <col min="12322" max="12322" width="11.81640625" style="132" bestFit="1" customWidth="1"/>
    <col min="12323" max="12544" width="10.26953125" style="132"/>
    <col min="12545" max="12545" width="4.7265625" style="132" customWidth="1"/>
    <col min="12546" max="12546" width="15.26953125" style="132" customWidth="1"/>
    <col min="12547" max="12547" width="12.6328125" style="132" customWidth="1"/>
    <col min="12548" max="12548" width="11.81640625" style="132" bestFit="1" customWidth="1"/>
    <col min="12549" max="12549" width="11.36328125" style="132" customWidth="1"/>
    <col min="12550" max="12550" width="11.54296875" style="132" customWidth="1"/>
    <col min="12551" max="12551" width="12.6328125" style="132" customWidth="1"/>
    <col min="12552" max="12552" width="11.26953125" style="132" bestFit="1" customWidth="1"/>
    <col min="12553" max="12553" width="12.1796875" style="132" customWidth="1"/>
    <col min="12554" max="12555" width="13.36328125" style="132" bestFit="1" customWidth="1"/>
    <col min="12556" max="12556" width="13.90625" style="132" bestFit="1" customWidth="1"/>
    <col min="12557" max="12576" width="12.6328125" style="132" customWidth="1"/>
    <col min="12577" max="12577" width="11.26953125" style="132" customWidth="1"/>
    <col min="12578" max="12578" width="11.81640625" style="132" bestFit="1" customWidth="1"/>
    <col min="12579" max="12800" width="10.26953125" style="132"/>
    <col min="12801" max="12801" width="4.7265625" style="132" customWidth="1"/>
    <col min="12802" max="12802" width="15.26953125" style="132" customWidth="1"/>
    <col min="12803" max="12803" width="12.6328125" style="132" customWidth="1"/>
    <col min="12804" max="12804" width="11.81640625" style="132" bestFit="1" customWidth="1"/>
    <col min="12805" max="12805" width="11.36328125" style="132" customWidth="1"/>
    <col min="12806" max="12806" width="11.54296875" style="132" customWidth="1"/>
    <col min="12807" max="12807" width="12.6328125" style="132" customWidth="1"/>
    <col min="12808" max="12808" width="11.26953125" style="132" bestFit="1" customWidth="1"/>
    <col min="12809" max="12809" width="12.1796875" style="132" customWidth="1"/>
    <col min="12810" max="12811" width="13.36328125" style="132" bestFit="1" customWidth="1"/>
    <col min="12812" max="12812" width="13.90625" style="132" bestFit="1" customWidth="1"/>
    <col min="12813" max="12832" width="12.6328125" style="132" customWidth="1"/>
    <col min="12833" max="12833" width="11.26953125" style="132" customWidth="1"/>
    <col min="12834" max="12834" width="11.81640625" style="132" bestFit="1" customWidth="1"/>
    <col min="12835" max="13056" width="10.26953125" style="132"/>
    <col min="13057" max="13057" width="4.7265625" style="132" customWidth="1"/>
    <col min="13058" max="13058" width="15.26953125" style="132" customWidth="1"/>
    <col min="13059" max="13059" width="12.6328125" style="132" customWidth="1"/>
    <col min="13060" max="13060" width="11.81640625" style="132" bestFit="1" customWidth="1"/>
    <col min="13061" max="13061" width="11.36328125" style="132" customWidth="1"/>
    <col min="13062" max="13062" width="11.54296875" style="132" customWidth="1"/>
    <col min="13063" max="13063" width="12.6328125" style="132" customWidth="1"/>
    <col min="13064" max="13064" width="11.26953125" style="132" bestFit="1" customWidth="1"/>
    <col min="13065" max="13065" width="12.1796875" style="132" customWidth="1"/>
    <col min="13066" max="13067" width="13.36328125" style="132" bestFit="1" customWidth="1"/>
    <col min="13068" max="13068" width="13.90625" style="132" bestFit="1" customWidth="1"/>
    <col min="13069" max="13088" width="12.6328125" style="132" customWidth="1"/>
    <col min="13089" max="13089" width="11.26953125" style="132" customWidth="1"/>
    <col min="13090" max="13090" width="11.81640625" style="132" bestFit="1" customWidth="1"/>
    <col min="13091" max="13312" width="10.26953125" style="132"/>
    <col min="13313" max="13313" width="4.7265625" style="132" customWidth="1"/>
    <col min="13314" max="13314" width="15.26953125" style="132" customWidth="1"/>
    <col min="13315" max="13315" width="12.6328125" style="132" customWidth="1"/>
    <col min="13316" max="13316" width="11.81640625" style="132" bestFit="1" customWidth="1"/>
    <col min="13317" max="13317" width="11.36328125" style="132" customWidth="1"/>
    <col min="13318" max="13318" width="11.54296875" style="132" customWidth="1"/>
    <col min="13319" max="13319" width="12.6328125" style="132" customWidth="1"/>
    <col min="13320" max="13320" width="11.26953125" style="132" bestFit="1" customWidth="1"/>
    <col min="13321" max="13321" width="12.1796875" style="132" customWidth="1"/>
    <col min="13322" max="13323" width="13.36328125" style="132" bestFit="1" customWidth="1"/>
    <col min="13324" max="13324" width="13.90625" style="132" bestFit="1" customWidth="1"/>
    <col min="13325" max="13344" width="12.6328125" style="132" customWidth="1"/>
    <col min="13345" max="13345" width="11.26953125" style="132" customWidth="1"/>
    <col min="13346" max="13346" width="11.81640625" style="132" bestFit="1" customWidth="1"/>
    <col min="13347" max="13568" width="10.26953125" style="132"/>
    <col min="13569" max="13569" width="4.7265625" style="132" customWidth="1"/>
    <col min="13570" max="13570" width="15.26953125" style="132" customWidth="1"/>
    <col min="13571" max="13571" width="12.6328125" style="132" customWidth="1"/>
    <col min="13572" max="13572" width="11.81640625" style="132" bestFit="1" customWidth="1"/>
    <col min="13573" max="13573" width="11.36328125" style="132" customWidth="1"/>
    <col min="13574" max="13574" width="11.54296875" style="132" customWidth="1"/>
    <col min="13575" max="13575" width="12.6328125" style="132" customWidth="1"/>
    <col min="13576" max="13576" width="11.26953125" style="132" bestFit="1" customWidth="1"/>
    <col min="13577" max="13577" width="12.1796875" style="132" customWidth="1"/>
    <col min="13578" max="13579" width="13.36328125" style="132" bestFit="1" customWidth="1"/>
    <col min="13580" max="13580" width="13.90625" style="132" bestFit="1" customWidth="1"/>
    <col min="13581" max="13600" width="12.6328125" style="132" customWidth="1"/>
    <col min="13601" max="13601" width="11.26953125" style="132" customWidth="1"/>
    <col min="13602" max="13602" width="11.81640625" style="132" bestFit="1" customWidth="1"/>
    <col min="13603" max="13824" width="10.26953125" style="132"/>
    <col min="13825" max="13825" width="4.7265625" style="132" customWidth="1"/>
    <col min="13826" max="13826" width="15.26953125" style="132" customWidth="1"/>
    <col min="13827" max="13827" width="12.6328125" style="132" customWidth="1"/>
    <col min="13828" max="13828" width="11.81640625" style="132" bestFit="1" customWidth="1"/>
    <col min="13829" max="13829" width="11.36328125" style="132" customWidth="1"/>
    <col min="13830" max="13830" width="11.54296875" style="132" customWidth="1"/>
    <col min="13831" max="13831" width="12.6328125" style="132" customWidth="1"/>
    <col min="13832" max="13832" width="11.26953125" style="132" bestFit="1" customWidth="1"/>
    <col min="13833" max="13833" width="12.1796875" style="132" customWidth="1"/>
    <col min="13834" max="13835" width="13.36328125" style="132" bestFit="1" customWidth="1"/>
    <col min="13836" max="13836" width="13.90625" style="132" bestFit="1" customWidth="1"/>
    <col min="13837" max="13856" width="12.6328125" style="132" customWidth="1"/>
    <col min="13857" max="13857" width="11.26953125" style="132" customWidth="1"/>
    <col min="13858" max="13858" width="11.81640625" style="132" bestFit="1" customWidth="1"/>
    <col min="13859" max="14080" width="10.26953125" style="132"/>
    <col min="14081" max="14081" width="4.7265625" style="132" customWidth="1"/>
    <col min="14082" max="14082" width="15.26953125" style="132" customWidth="1"/>
    <col min="14083" max="14083" width="12.6328125" style="132" customWidth="1"/>
    <col min="14084" max="14084" width="11.81640625" style="132" bestFit="1" customWidth="1"/>
    <col min="14085" max="14085" width="11.36328125" style="132" customWidth="1"/>
    <col min="14086" max="14086" width="11.54296875" style="132" customWidth="1"/>
    <col min="14087" max="14087" width="12.6328125" style="132" customWidth="1"/>
    <col min="14088" max="14088" width="11.26953125" style="132" bestFit="1" customWidth="1"/>
    <col min="14089" max="14089" width="12.1796875" style="132" customWidth="1"/>
    <col min="14090" max="14091" width="13.36328125" style="132" bestFit="1" customWidth="1"/>
    <col min="14092" max="14092" width="13.90625" style="132" bestFit="1" customWidth="1"/>
    <col min="14093" max="14112" width="12.6328125" style="132" customWidth="1"/>
    <col min="14113" max="14113" width="11.26953125" style="132" customWidth="1"/>
    <col min="14114" max="14114" width="11.81640625" style="132" bestFit="1" customWidth="1"/>
    <col min="14115" max="14336" width="10.26953125" style="132"/>
    <col min="14337" max="14337" width="4.7265625" style="132" customWidth="1"/>
    <col min="14338" max="14338" width="15.26953125" style="132" customWidth="1"/>
    <col min="14339" max="14339" width="12.6328125" style="132" customWidth="1"/>
    <col min="14340" max="14340" width="11.81640625" style="132" bestFit="1" customWidth="1"/>
    <col min="14341" max="14341" width="11.36328125" style="132" customWidth="1"/>
    <col min="14342" max="14342" width="11.54296875" style="132" customWidth="1"/>
    <col min="14343" max="14343" width="12.6328125" style="132" customWidth="1"/>
    <col min="14344" max="14344" width="11.26953125" style="132" bestFit="1" customWidth="1"/>
    <col min="14345" max="14345" width="12.1796875" style="132" customWidth="1"/>
    <col min="14346" max="14347" width="13.36328125" style="132" bestFit="1" customWidth="1"/>
    <col min="14348" max="14348" width="13.90625" style="132" bestFit="1" customWidth="1"/>
    <col min="14349" max="14368" width="12.6328125" style="132" customWidth="1"/>
    <col min="14369" max="14369" width="11.26953125" style="132" customWidth="1"/>
    <col min="14370" max="14370" width="11.81640625" style="132" bestFit="1" customWidth="1"/>
    <col min="14371" max="14592" width="10.26953125" style="132"/>
    <col min="14593" max="14593" width="4.7265625" style="132" customWidth="1"/>
    <col min="14594" max="14594" width="15.26953125" style="132" customWidth="1"/>
    <col min="14595" max="14595" width="12.6328125" style="132" customWidth="1"/>
    <col min="14596" max="14596" width="11.81640625" style="132" bestFit="1" customWidth="1"/>
    <col min="14597" max="14597" width="11.36328125" style="132" customWidth="1"/>
    <col min="14598" max="14598" width="11.54296875" style="132" customWidth="1"/>
    <col min="14599" max="14599" width="12.6328125" style="132" customWidth="1"/>
    <col min="14600" max="14600" width="11.26953125" style="132" bestFit="1" customWidth="1"/>
    <col min="14601" max="14601" width="12.1796875" style="132" customWidth="1"/>
    <col min="14602" max="14603" width="13.36328125" style="132" bestFit="1" customWidth="1"/>
    <col min="14604" max="14604" width="13.90625" style="132" bestFit="1" customWidth="1"/>
    <col min="14605" max="14624" width="12.6328125" style="132" customWidth="1"/>
    <col min="14625" max="14625" width="11.26953125" style="132" customWidth="1"/>
    <col min="14626" max="14626" width="11.81640625" style="132" bestFit="1" customWidth="1"/>
    <col min="14627" max="14848" width="10.26953125" style="132"/>
    <col min="14849" max="14849" width="4.7265625" style="132" customWidth="1"/>
    <col min="14850" max="14850" width="15.26953125" style="132" customWidth="1"/>
    <col min="14851" max="14851" width="12.6328125" style="132" customWidth="1"/>
    <col min="14852" max="14852" width="11.81640625" style="132" bestFit="1" customWidth="1"/>
    <col min="14853" max="14853" width="11.36328125" style="132" customWidth="1"/>
    <col min="14854" max="14854" width="11.54296875" style="132" customWidth="1"/>
    <col min="14855" max="14855" width="12.6328125" style="132" customWidth="1"/>
    <col min="14856" max="14856" width="11.26953125" style="132" bestFit="1" customWidth="1"/>
    <col min="14857" max="14857" width="12.1796875" style="132" customWidth="1"/>
    <col min="14858" max="14859" width="13.36328125" style="132" bestFit="1" customWidth="1"/>
    <col min="14860" max="14860" width="13.90625" style="132" bestFit="1" customWidth="1"/>
    <col min="14861" max="14880" width="12.6328125" style="132" customWidth="1"/>
    <col min="14881" max="14881" width="11.26953125" style="132" customWidth="1"/>
    <col min="14882" max="14882" width="11.81640625" style="132" bestFit="1" customWidth="1"/>
    <col min="14883" max="15104" width="10.26953125" style="132"/>
    <col min="15105" max="15105" width="4.7265625" style="132" customWidth="1"/>
    <col min="15106" max="15106" width="15.26953125" style="132" customWidth="1"/>
    <col min="15107" max="15107" width="12.6328125" style="132" customWidth="1"/>
    <col min="15108" max="15108" width="11.81640625" style="132" bestFit="1" customWidth="1"/>
    <col min="15109" max="15109" width="11.36328125" style="132" customWidth="1"/>
    <col min="15110" max="15110" width="11.54296875" style="132" customWidth="1"/>
    <col min="15111" max="15111" width="12.6328125" style="132" customWidth="1"/>
    <col min="15112" max="15112" width="11.26953125" style="132" bestFit="1" customWidth="1"/>
    <col min="15113" max="15113" width="12.1796875" style="132" customWidth="1"/>
    <col min="15114" max="15115" width="13.36328125" style="132" bestFit="1" customWidth="1"/>
    <col min="15116" max="15116" width="13.90625" style="132" bestFit="1" customWidth="1"/>
    <col min="15117" max="15136" width="12.6328125" style="132" customWidth="1"/>
    <col min="15137" max="15137" width="11.26953125" style="132" customWidth="1"/>
    <col min="15138" max="15138" width="11.81640625" style="132" bestFit="1" customWidth="1"/>
    <col min="15139" max="15360" width="10.26953125" style="132"/>
    <col min="15361" max="15361" width="4.7265625" style="132" customWidth="1"/>
    <col min="15362" max="15362" width="15.26953125" style="132" customWidth="1"/>
    <col min="15363" max="15363" width="12.6328125" style="132" customWidth="1"/>
    <col min="15364" max="15364" width="11.81640625" style="132" bestFit="1" customWidth="1"/>
    <col min="15365" max="15365" width="11.36328125" style="132" customWidth="1"/>
    <col min="15366" max="15366" width="11.54296875" style="132" customWidth="1"/>
    <col min="15367" max="15367" width="12.6328125" style="132" customWidth="1"/>
    <col min="15368" max="15368" width="11.26953125" style="132" bestFit="1" customWidth="1"/>
    <col min="15369" max="15369" width="12.1796875" style="132" customWidth="1"/>
    <col min="15370" max="15371" width="13.36328125" style="132" bestFit="1" customWidth="1"/>
    <col min="15372" max="15372" width="13.90625" style="132" bestFit="1" customWidth="1"/>
    <col min="15373" max="15392" width="12.6328125" style="132" customWidth="1"/>
    <col min="15393" max="15393" width="11.26953125" style="132" customWidth="1"/>
    <col min="15394" max="15394" width="11.81640625" style="132" bestFit="1" customWidth="1"/>
    <col min="15395" max="15616" width="10.26953125" style="132"/>
    <col min="15617" max="15617" width="4.7265625" style="132" customWidth="1"/>
    <col min="15618" max="15618" width="15.26953125" style="132" customWidth="1"/>
    <col min="15619" max="15619" width="12.6328125" style="132" customWidth="1"/>
    <col min="15620" max="15620" width="11.81640625" style="132" bestFit="1" customWidth="1"/>
    <col min="15621" max="15621" width="11.36328125" style="132" customWidth="1"/>
    <col min="15622" max="15622" width="11.54296875" style="132" customWidth="1"/>
    <col min="15623" max="15623" width="12.6328125" style="132" customWidth="1"/>
    <col min="15624" max="15624" width="11.26953125" style="132" bestFit="1" customWidth="1"/>
    <col min="15625" max="15625" width="12.1796875" style="132" customWidth="1"/>
    <col min="15626" max="15627" width="13.36328125" style="132" bestFit="1" customWidth="1"/>
    <col min="15628" max="15628" width="13.90625" style="132" bestFit="1" customWidth="1"/>
    <col min="15629" max="15648" width="12.6328125" style="132" customWidth="1"/>
    <col min="15649" max="15649" width="11.26953125" style="132" customWidth="1"/>
    <col min="15650" max="15650" width="11.81640625" style="132" bestFit="1" customWidth="1"/>
    <col min="15651" max="15872" width="10.26953125" style="132"/>
    <col min="15873" max="15873" width="4.7265625" style="132" customWidth="1"/>
    <col min="15874" max="15874" width="15.26953125" style="132" customWidth="1"/>
    <col min="15875" max="15875" width="12.6328125" style="132" customWidth="1"/>
    <col min="15876" max="15876" width="11.81640625" style="132" bestFit="1" customWidth="1"/>
    <col min="15877" max="15877" width="11.36328125" style="132" customWidth="1"/>
    <col min="15878" max="15878" width="11.54296875" style="132" customWidth="1"/>
    <col min="15879" max="15879" width="12.6328125" style="132" customWidth="1"/>
    <col min="15880" max="15880" width="11.26953125" style="132" bestFit="1" customWidth="1"/>
    <col min="15881" max="15881" width="12.1796875" style="132" customWidth="1"/>
    <col min="15882" max="15883" width="13.36328125" style="132" bestFit="1" customWidth="1"/>
    <col min="15884" max="15884" width="13.90625" style="132" bestFit="1" customWidth="1"/>
    <col min="15885" max="15904" width="12.6328125" style="132" customWidth="1"/>
    <col min="15905" max="15905" width="11.26953125" style="132" customWidth="1"/>
    <col min="15906" max="15906" width="11.81640625" style="132" bestFit="1" customWidth="1"/>
    <col min="15907" max="16128" width="10.26953125" style="132"/>
    <col min="16129" max="16129" width="4.7265625" style="132" customWidth="1"/>
    <col min="16130" max="16130" width="15.26953125" style="132" customWidth="1"/>
    <col min="16131" max="16131" width="12.6328125" style="132" customWidth="1"/>
    <col min="16132" max="16132" width="11.81640625" style="132" bestFit="1" customWidth="1"/>
    <col min="16133" max="16133" width="11.36328125" style="132" customWidth="1"/>
    <col min="16134" max="16134" width="11.54296875" style="132" customWidth="1"/>
    <col min="16135" max="16135" width="12.6328125" style="132" customWidth="1"/>
    <col min="16136" max="16136" width="11.26953125" style="132" bestFit="1" customWidth="1"/>
    <col min="16137" max="16137" width="12.1796875" style="132" customWidth="1"/>
    <col min="16138" max="16139" width="13.36328125" style="132" bestFit="1" customWidth="1"/>
    <col min="16140" max="16140" width="13.90625" style="132" bestFit="1" customWidth="1"/>
    <col min="16141" max="16160" width="12.6328125" style="132" customWidth="1"/>
    <col min="16161" max="16161" width="11.26953125" style="132" customWidth="1"/>
    <col min="16162" max="16162" width="11.81640625" style="132" bestFit="1" customWidth="1"/>
    <col min="16163" max="16384" width="10.26953125" style="132"/>
  </cols>
  <sheetData>
    <row r="1" spans="1:35" ht="20" x14ac:dyDescent="0.4">
      <c r="A1" s="131" t="s">
        <v>205</v>
      </c>
      <c r="I1" s="133"/>
    </row>
    <row r="3" spans="1:35" x14ac:dyDescent="0.35">
      <c r="A3" s="177" t="s">
        <v>116</v>
      </c>
      <c r="B3" s="177"/>
      <c r="E3" s="134"/>
      <c r="G3" s="135" t="s">
        <v>164</v>
      </c>
      <c r="H3" s="135" t="s">
        <v>93</v>
      </c>
      <c r="J3" s="136" t="s">
        <v>117</v>
      </c>
      <c r="K3" s="137"/>
      <c r="L3" s="138"/>
      <c r="M3" s="139">
        <f>NPV(C16,D38:AG38)+C38</f>
        <v>322311.86615265883</v>
      </c>
    </row>
    <row r="4" spans="1:35" x14ac:dyDescent="0.35">
      <c r="A4" s="140" t="s">
        <v>118</v>
      </c>
      <c r="B4" s="140"/>
      <c r="E4" s="132" t="s">
        <v>119</v>
      </c>
      <c r="G4" s="171">
        <v>500</v>
      </c>
      <c r="H4" s="171">
        <v>250</v>
      </c>
      <c r="J4" s="137" t="s">
        <v>120</v>
      </c>
      <c r="K4" s="137"/>
      <c r="L4" s="138"/>
      <c r="M4" s="141">
        <f>IRR(C38:AG38)</f>
        <v>9.1577078599887285E-2</v>
      </c>
      <c r="AG4" s="142"/>
    </row>
    <row r="5" spans="1:35" x14ac:dyDescent="0.35">
      <c r="E5" s="134" t="s">
        <v>121</v>
      </c>
      <c r="G5" s="172">
        <f>Budget!O3</f>
        <v>2275</v>
      </c>
      <c r="H5" s="172">
        <f>Budget!Q3</f>
        <v>485.00000000000006</v>
      </c>
      <c r="J5" s="137" t="s">
        <v>122</v>
      </c>
      <c r="K5" s="138"/>
      <c r="L5" s="138"/>
      <c r="M5" s="141">
        <f>MIRR(C38:AG38,C14,C16)</f>
        <v>7.5892119876774577E-2</v>
      </c>
      <c r="N5" s="143"/>
      <c r="O5" s="143"/>
      <c r="P5" s="143"/>
      <c r="Q5" s="143"/>
      <c r="R5" s="143"/>
      <c r="S5" s="143"/>
      <c r="T5" s="143"/>
      <c r="U5" s="143"/>
      <c r="V5" s="143"/>
      <c r="W5" s="143"/>
      <c r="X5" s="143"/>
      <c r="Y5" s="143"/>
      <c r="Z5" s="143"/>
      <c r="AA5" s="143"/>
      <c r="AB5" s="143"/>
      <c r="AC5" s="143"/>
      <c r="AD5" s="143"/>
      <c r="AE5" s="143"/>
      <c r="AF5" s="143"/>
    </row>
    <row r="6" spans="1:35" x14ac:dyDescent="0.35">
      <c r="A6" s="132" t="s">
        <v>123</v>
      </c>
      <c r="C6" s="174">
        <f>SUM(F12:F14)</f>
        <v>1455219.98</v>
      </c>
      <c r="E6" s="132" t="s">
        <v>124</v>
      </c>
      <c r="G6" s="172">
        <f>Budget!O9</f>
        <v>1837.7973481481481</v>
      </c>
      <c r="H6" s="172">
        <f>Budget!Q9</f>
        <v>272.7973481481481</v>
      </c>
      <c r="J6" s="144"/>
      <c r="K6" s="144"/>
      <c r="L6" s="142"/>
      <c r="M6" s="144"/>
      <c r="N6" s="135"/>
      <c r="O6" s="135"/>
      <c r="P6" s="135"/>
      <c r="Q6" s="135"/>
      <c r="R6" s="135"/>
      <c r="S6" s="135"/>
      <c r="T6" s="135"/>
      <c r="U6" s="135"/>
      <c r="V6" s="135"/>
      <c r="W6" s="135"/>
      <c r="X6" s="135"/>
      <c r="Y6" s="135"/>
      <c r="Z6" s="135"/>
      <c r="AA6" s="135"/>
      <c r="AB6" s="135"/>
      <c r="AC6" s="135"/>
      <c r="AD6" s="135"/>
      <c r="AE6" s="135"/>
      <c r="AF6" s="135"/>
      <c r="AG6" s="133"/>
      <c r="AH6" s="133"/>
    </row>
    <row r="7" spans="1:35" x14ac:dyDescent="0.35">
      <c r="A7" s="132" t="s">
        <v>125</v>
      </c>
      <c r="C7" s="174">
        <f>F14*(39.5-C18)/39.5</f>
        <v>298227.84810126584</v>
      </c>
      <c r="E7" s="134" t="s">
        <v>126</v>
      </c>
      <c r="G7" s="172">
        <f>Budget!M11-Budget!H71</f>
        <v>69114.104850000003</v>
      </c>
      <c r="H7" s="145"/>
      <c r="L7" s="146"/>
      <c r="M7" s="146"/>
      <c r="N7" s="146"/>
      <c r="O7" s="146"/>
      <c r="P7" s="146"/>
      <c r="Q7" s="146"/>
      <c r="R7" s="146"/>
      <c r="S7" s="146"/>
      <c r="U7" s="146"/>
      <c r="V7" s="146"/>
      <c r="W7" s="146"/>
      <c r="X7" s="146"/>
      <c r="Y7" s="146"/>
      <c r="Z7" s="146"/>
      <c r="AA7" s="146"/>
      <c r="AB7" s="146"/>
      <c r="AC7" s="146"/>
      <c r="AD7" s="146"/>
      <c r="AE7" s="146"/>
      <c r="AF7" s="146"/>
    </row>
    <row r="8" spans="1:35" x14ac:dyDescent="0.35">
      <c r="A8" s="134" t="s">
        <v>127</v>
      </c>
      <c r="C8" s="147">
        <f>IF(C17&gt;C18,-PV(C14,+C17-C18,G9),0)</f>
        <v>0</v>
      </c>
      <c r="E8" s="132" t="s">
        <v>220</v>
      </c>
      <c r="G8" s="194">
        <f>'Small Tools'!E33</f>
        <v>20938.829999999994</v>
      </c>
      <c r="H8" s="142"/>
      <c r="M8" s="146"/>
      <c r="N8" s="146"/>
      <c r="O8" s="146"/>
      <c r="P8" s="146"/>
      <c r="Q8" s="146"/>
      <c r="R8" s="146"/>
      <c r="S8" s="146"/>
      <c r="T8" s="146"/>
      <c r="U8" s="148"/>
      <c r="V8" s="146"/>
      <c r="W8" s="146"/>
      <c r="X8" s="146"/>
      <c r="Y8" s="146"/>
      <c r="Z8" s="146"/>
      <c r="AA8" s="146"/>
      <c r="AB8" s="146"/>
      <c r="AC8" s="146"/>
      <c r="AD8" s="146"/>
      <c r="AE8" s="146"/>
      <c r="AF8" s="146"/>
    </row>
    <row r="9" spans="1:35" x14ac:dyDescent="0.35">
      <c r="A9" s="132" t="s">
        <v>128</v>
      </c>
      <c r="C9" s="142"/>
      <c r="E9" s="142" t="s">
        <v>165</v>
      </c>
      <c r="F9" s="142"/>
      <c r="G9" s="147">
        <f>PMT(C14,C17,-(C6*C13))</f>
        <v>70099.610923939428</v>
      </c>
      <c r="H9" s="142"/>
      <c r="N9" s="146"/>
      <c r="O9" s="146"/>
      <c r="P9" s="146"/>
      <c r="Q9" s="146"/>
      <c r="R9" s="146"/>
      <c r="S9" s="146"/>
      <c r="T9" s="146"/>
      <c r="U9" s="146"/>
      <c r="V9" s="146"/>
      <c r="W9" s="146"/>
      <c r="X9" s="146"/>
      <c r="Y9" s="146"/>
      <c r="Z9" s="146"/>
      <c r="AA9" s="146"/>
      <c r="AB9" s="146"/>
      <c r="AC9" s="146"/>
      <c r="AD9" s="146"/>
      <c r="AE9" s="146"/>
      <c r="AF9" s="146"/>
    </row>
    <row r="10" spans="1:35" x14ac:dyDescent="0.35">
      <c r="B10" s="132" t="s">
        <v>167</v>
      </c>
      <c r="C10" s="175">
        <v>0.02</v>
      </c>
      <c r="H10" s="151"/>
      <c r="N10" s="148"/>
      <c r="O10" s="148"/>
      <c r="P10" s="148"/>
      <c r="Q10" s="148"/>
      <c r="R10" s="148"/>
      <c r="S10" s="148"/>
      <c r="T10" s="148"/>
      <c r="U10" s="148"/>
      <c r="V10" s="148"/>
      <c r="W10" s="148"/>
      <c r="X10" s="148"/>
      <c r="Y10" s="148"/>
      <c r="Z10" s="148"/>
      <c r="AA10" s="148"/>
      <c r="AB10" s="148"/>
      <c r="AC10" s="148"/>
      <c r="AD10" s="148"/>
      <c r="AE10" s="148"/>
      <c r="AF10" s="148"/>
    </row>
    <row r="11" spans="1:35" x14ac:dyDescent="0.35">
      <c r="B11" s="132" t="s">
        <v>131</v>
      </c>
      <c r="C11" s="175">
        <v>0.02</v>
      </c>
      <c r="E11" s="149" t="s">
        <v>130</v>
      </c>
      <c r="F11" s="150"/>
      <c r="G11" s="150"/>
      <c r="H11" s="142"/>
    </row>
    <row r="12" spans="1:35" x14ac:dyDescent="0.35">
      <c r="A12" s="132" t="s">
        <v>134</v>
      </c>
      <c r="C12" s="175">
        <v>0.35</v>
      </c>
      <c r="E12" s="132" t="s">
        <v>132</v>
      </c>
      <c r="F12" s="172">
        <f>'Initial Costs'!C39</f>
        <v>30000</v>
      </c>
      <c r="G12" s="142" t="s">
        <v>133</v>
      </c>
      <c r="I12" s="132" t="s">
        <v>137</v>
      </c>
      <c r="K12" s="145">
        <f>'Initial Costs'!D36*(1+C11)^10</f>
        <v>197257.65266366318</v>
      </c>
    </row>
    <row r="13" spans="1:35" x14ac:dyDescent="0.35">
      <c r="A13" s="132" t="s">
        <v>138</v>
      </c>
      <c r="C13" s="175">
        <v>0.5</v>
      </c>
      <c r="E13" s="132" t="s">
        <v>135</v>
      </c>
      <c r="F13" s="172">
        <f>'Initial Costs'!C40</f>
        <v>185219.97999999998</v>
      </c>
      <c r="G13" s="142" t="s">
        <v>136</v>
      </c>
      <c r="I13" s="132" t="s">
        <v>141</v>
      </c>
      <c r="K13" s="145">
        <f>'Initial Costs'!D37*(1+C11)^20+K12*(1+C11)^10</f>
        <v>257395.77821242256</v>
      </c>
    </row>
    <row r="14" spans="1:35" x14ac:dyDescent="0.35">
      <c r="A14" s="132" t="s">
        <v>142</v>
      </c>
      <c r="C14" s="175">
        <v>0.05</v>
      </c>
      <c r="E14" s="132" t="s">
        <v>139</v>
      </c>
      <c r="F14" s="172">
        <f>'Initial Costs'!C41</f>
        <v>1240000</v>
      </c>
      <c r="G14" s="142" t="s">
        <v>140</v>
      </c>
      <c r="AG14" s="152"/>
      <c r="AH14" s="152"/>
      <c r="AI14" s="152"/>
    </row>
    <row r="15" spans="1:35" x14ac:dyDescent="0.35">
      <c r="A15" s="134" t="s">
        <v>143</v>
      </c>
      <c r="B15" s="143"/>
      <c r="C15" s="176">
        <v>0.1</v>
      </c>
      <c r="AG15" s="152"/>
      <c r="AH15" s="152" t="s">
        <v>144</v>
      </c>
      <c r="AI15" s="152"/>
    </row>
    <row r="16" spans="1:35" x14ac:dyDescent="0.35">
      <c r="A16" s="134" t="s">
        <v>145</v>
      </c>
      <c r="C16" s="153">
        <f>+C15*(1-C12)</f>
        <v>6.5000000000000002E-2</v>
      </c>
      <c r="D16" s="133" t="s">
        <v>146</v>
      </c>
      <c r="E16" s="154"/>
      <c r="F16" s="143"/>
      <c r="G16" s="155"/>
      <c r="H16" s="143"/>
      <c r="I16" s="143"/>
      <c r="J16" s="143"/>
      <c r="K16" s="143"/>
      <c r="L16" s="143"/>
      <c r="M16" s="143"/>
      <c r="N16" s="143"/>
      <c r="O16" s="143"/>
      <c r="P16" s="143"/>
      <c r="Q16" s="143"/>
      <c r="R16" s="143"/>
      <c r="S16" s="143"/>
      <c r="T16" s="143"/>
      <c r="U16" s="143"/>
      <c r="V16" s="152"/>
      <c r="W16" s="152"/>
      <c r="X16" s="152"/>
      <c r="Y16" s="152"/>
      <c r="Z16" s="152"/>
      <c r="AA16" s="152"/>
      <c r="AB16" s="152"/>
      <c r="AC16" s="152"/>
      <c r="AD16" s="152"/>
      <c r="AE16" s="152"/>
      <c r="AF16" s="152"/>
      <c r="AG16" s="152"/>
      <c r="AH16" s="152"/>
    </row>
    <row r="17" spans="1:35" x14ac:dyDescent="0.35">
      <c r="A17" s="132" t="s">
        <v>147</v>
      </c>
      <c r="C17" s="177">
        <v>15</v>
      </c>
      <c r="D17" s="155">
        <v>1</v>
      </c>
      <c r="E17" s="156">
        <v>2</v>
      </c>
      <c r="F17" s="155">
        <v>3</v>
      </c>
      <c r="G17" s="155">
        <v>4</v>
      </c>
      <c r="H17" s="155">
        <v>5</v>
      </c>
      <c r="I17" s="155">
        <v>6</v>
      </c>
      <c r="J17" s="155">
        <v>7</v>
      </c>
      <c r="K17" s="155">
        <v>8</v>
      </c>
      <c r="L17" s="155">
        <v>9</v>
      </c>
      <c r="M17" s="155">
        <v>10</v>
      </c>
      <c r="N17" s="155">
        <v>11</v>
      </c>
      <c r="O17" s="155">
        <v>12</v>
      </c>
      <c r="P17" s="155">
        <v>13</v>
      </c>
      <c r="Q17" s="155">
        <v>14</v>
      </c>
      <c r="R17" s="155">
        <v>15</v>
      </c>
      <c r="S17" s="155">
        <v>16</v>
      </c>
      <c r="T17" s="155">
        <v>17</v>
      </c>
      <c r="U17" s="155">
        <v>18</v>
      </c>
      <c r="V17" s="155">
        <v>19</v>
      </c>
      <c r="W17" s="155">
        <v>20</v>
      </c>
      <c r="X17" s="155">
        <v>21</v>
      </c>
      <c r="Y17" s="155">
        <v>22</v>
      </c>
      <c r="Z17" s="155">
        <v>23</v>
      </c>
      <c r="AA17" s="155">
        <v>24</v>
      </c>
      <c r="AB17" s="155">
        <v>25</v>
      </c>
      <c r="AC17" s="155">
        <v>26</v>
      </c>
      <c r="AD17" s="155">
        <v>27</v>
      </c>
      <c r="AE17" s="155">
        <v>28</v>
      </c>
      <c r="AF17" s="155">
        <v>29</v>
      </c>
      <c r="AG17" s="155">
        <v>30</v>
      </c>
      <c r="AH17" s="152"/>
    </row>
    <row r="18" spans="1:35" x14ac:dyDescent="0.35">
      <c r="A18" s="134" t="s">
        <v>148</v>
      </c>
      <c r="C18" s="142">
        <v>30</v>
      </c>
      <c r="D18" s="132">
        <v>0.15</v>
      </c>
      <c r="E18" s="132">
        <v>0.255</v>
      </c>
      <c r="F18" s="132">
        <v>0.17849999999999999</v>
      </c>
      <c r="G18" s="132">
        <v>0.1666</v>
      </c>
      <c r="H18" s="132">
        <v>0.1666</v>
      </c>
      <c r="I18" s="132">
        <v>0.83299999999999996</v>
      </c>
    </row>
    <row r="19" spans="1:35" x14ac:dyDescent="0.35">
      <c r="D19" s="132">
        <v>0.1071</v>
      </c>
      <c r="E19" s="132">
        <v>0.1913</v>
      </c>
      <c r="F19" s="132">
        <v>0.15029999999999999</v>
      </c>
      <c r="G19" s="132">
        <v>0.1225</v>
      </c>
      <c r="H19" s="132">
        <v>0.1225</v>
      </c>
      <c r="I19" s="132">
        <v>0.1225</v>
      </c>
      <c r="J19" s="132">
        <v>0.1225</v>
      </c>
      <c r="K19" s="132">
        <v>6.13E-2</v>
      </c>
    </row>
    <row r="20" spans="1:35" x14ac:dyDescent="0.35">
      <c r="D20" s="157">
        <f>1/39.5</f>
        <v>2.5316455696202531E-2</v>
      </c>
      <c r="E20" s="157">
        <f t="shared" ref="E20:AG20" si="0">1/39.5</f>
        <v>2.5316455696202531E-2</v>
      </c>
      <c r="F20" s="157">
        <f t="shared" si="0"/>
        <v>2.5316455696202531E-2</v>
      </c>
      <c r="G20" s="157">
        <f t="shared" si="0"/>
        <v>2.5316455696202531E-2</v>
      </c>
      <c r="H20" s="157">
        <f t="shared" si="0"/>
        <v>2.5316455696202531E-2</v>
      </c>
      <c r="I20" s="157">
        <f t="shared" si="0"/>
        <v>2.5316455696202531E-2</v>
      </c>
      <c r="J20" s="157">
        <f t="shared" si="0"/>
        <v>2.5316455696202531E-2</v>
      </c>
      <c r="K20" s="157">
        <f t="shared" si="0"/>
        <v>2.5316455696202531E-2</v>
      </c>
      <c r="L20" s="157">
        <f t="shared" si="0"/>
        <v>2.5316455696202531E-2</v>
      </c>
      <c r="M20" s="157">
        <f t="shared" si="0"/>
        <v>2.5316455696202531E-2</v>
      </c>
      <c r="N20" s="157">
        <f t="shared" si="0"/>
        <v>2.5316455696202531E-2</v>
      </c>
      <c r="O20" s="157">
        <f t="shared" si="0"/>
        <v>2.5316455696202531E-2</v>
      </c>
      <c r="P20" s="157">
        <f t="shared" si="0"/>
        <v>2.5316455696202531E-2</v>
      </c>
      <c r="Q20" s="157">
        <f t="shared" si="0"/>
        <v>2.5316455696202531E-2</v>
      </c>
      <c r="R20" s="157">
        <f t="shared" si="0"/>
        <v>2.5316455696202531E-2</v>
      </c>
      <c r="S20" s="157">
        <f t="shared" si="0"/>
        <v>2.5316455696202531E-2</v>
      </c>
      <c r="T20" s="157">
        <f t="shared" si="0"/>
        <v>2.5316455696202531E-2</v>
      </c>
      <c r="U20" s="157">
        <f t="shared" si="0"/>
        <v>2.5316455696202531E-2</v>
      </c>
      <c r="V20" s="157">
        <f t="shared" si="0"/>
        <v>2.5316455696202531E-2</v>
      </c>
      <c r="W20" s="157">
        <f t="shared" si="0"/>
        <v>2.5316455696202531E-2</v>
      </c>
      <c r="X20" s="157">
        <f t="shared" si="0"/>
        <v>2.5316455696202531E-2</v>
      </c>
      <c r="Y20" s="157">
        <f t="shared" si="0"/>
        <v>2.5316455696202531E-2</v>
      </c>
      <c r="Z20" s="157">
        <f t="shared" si="0"/>
        <v>2.5316455696202531E-2</v>
      </c>
      <c r="AA20" s="157">
        <f t="shared" si="0"/>
        <v>2.5316455696202531E-2</v>
      </c>
      <c r="AB20" s="157">
        <f t="shared" si="0"/>
        <v>2.5316455696202531E-2</v>
      </c>
      <c r="AC20" s="157">
        <f t="shared" si="0"/>
        <v>2.5316455696202531E-2</v>
      </c>
      <c r="AD20" s="157">
        <f t="shared" si="0"/>
        <v>2.5316455696202531E-2</v>
      </c>
      <c r="AE20" s="157">
        <f t="shared" si="0"/>
        <v>2.5316455696202531E-2</v>
      </c>
      <c r="AF20" s="157">
        <f t="shared" si="0"/>
        <v>2.5316455696202531E-2</v>
      </c>
      <c r="AG20" s="157">
        <f t="shared" si="0"/>
        <v>2.5316455696202531E-2</v>
      </c>
    </row>
    <row r="22" spans="1:35" x14ac:dyDescent="0.35">
      <c r="A22" s="158"/>
      <c r="B22" s="159" t="s">
        <v>149</v>
      </c>
      <c r="C22" s="159">
        <v>0</v>
      </c>
      <c r="D22" s="159">
        <f t="shared" ref="D22:AG22" si="1">C22+1</f>
        <v>1</v>
      </c>
      <c r="E22" s="159">
        <f t="shared" si="1"/>
        <v>2</v>
      </c>
      <c r="F22" s="159">
        <f t="shared" si="1"/>
        <v>3</v>
      </c>
      <c r="G22" s="159">
        <f t="shared" si="1"/>
        <v>4</v>
      </c>
      <c r="H22" s="159">
        <f t="shared" si="1"/>
        <v>5</v>
      </c>
      <c r="I22" s="159">
        <f t="shared" si="1"/>
        <v>6</v>
      </c>
      <c r="J22" s="159">
        <f t="shared" si="1"/>
        <v>7</v>
      </c>
      <c r="K22" s="159">
        <f t="shared" si="1"/>
        <v>8</v>
      </c>
      <c r="L22" s="159">
        <f t="shared" si="1"/>
        <v>9</v>
      </c>
      <c r="M22" s="159">
        <f t="shared" si="1"/>
        <v>10</v>
      </c>
      <c r="N22" s="159">
        <f t="shared" si="1"/>
        <v>11</v>
      </c>
      <c r="O22" s="159">
        <f t="shared" si="1"/>
        <v>12</v>
      </c>
      <c r="P22" s="159">
        <f t="shared" si="1"/>
        <v>13</v>
      </c>
      <c r="Q22" s="159">
        <f t="shared" si="1"/>
        <v>14</v>
      </c>
      <c r="R22" s="159">
        <f t="shared" si="1"/>
        <v>15</v>
      </c>
      <c r="S22" s="159">
        <f t="shared" si="1"/>
        <v>16</v>
      </c>
      <c r="T22" s="159">
        <f t="shared" si="1"/>
        <v>17</v>
      </c>
      <c r="U22" s="159">
        <f t="shared" si="1"/>
        <v>18</v>
      </c>
      <c r="V22" s="159">
        <f t="shared" si="1"/>
        <v>19</v>
      </c>
      <c r="W22" s="159">
        <f t="shared" si="1"/>
        <v>20</v>
      </c>
      <c r="X22" s="159">
        <f t="shared" si="1"/>
        <v>21</v>
      </c>
      <c r="Y22" s="159">
        <f t="shared" si="1"/>
        <v>22</v>
      </c>
      <c r="Z22" s="159">
        <f t="shared" si="1"/>
        <v>23</v>
      </c>
      <c r="AA22" s="159">
        <f t="shared" si="1"/>
        <v>24</v>
      </c>
      <c r="AB22" s="159">
        <f t="shared" si="1"/>
        <v>25</v>
      </c>
      <c r="AC22" s="159">
        <f t="shared" si="1"/>
        <v>26</v>
      </c>
      <c r="AD22" s="159">
        <f t="shared" si="1"/>
        <v>27</v>
      </c>
      <c r="AE22" s="159">
        <f t="shared" si="1"/>
        <v>28</v>
      </c>
      <c r="AF22" s="159">
        <f t="shared" si="1"/>
        <v>29</v>
      </c>
      <c r="AG22" s="159">
        <f t="shared" si="1"/>
        <v>30</v>
      </c>
    </row>
    <row r="23" spans="1:35" x14ac:dyDescent="0.35">
      <c r="A23" s="132" t="s">
        <v>150</v>
      </c>
      <c r="D23" s="179">
        <v>0.5</v>
      </c>
      <c r="E23" s="179">
        <v>0.75</v>
      </c>
      <c r="F23" s="179">
        <v>0.9</v>
      </c>
      <c r="G23" s="179">
        <v>0.9</v>
      </c>
      <c r="H23" s="179">
        <v>0.9</v>
      </c>
      <c r="I23" s="179">
        <v>0.9</v>
      </c>
      <c r="J23" s="179">
        <v>0.9</v>
      </c>
      <c r="K23" s="179">
        <v>0.9</v>
      </c>
      <c r="L23" s="179">
        <v>0.9</v>
      </c>
      <c r="M23" s="179">
        <v>0.9</v>
      </c>
      <c r="N23" s="179">
        <v>0.9</v>
      </c>
      <c r="O23" s="179">
        <v>0.9</v>
      </c>
      <c r="P23" s="179">
        <v>0.9</v>
      </c>
      <c r="Q23" s="179">
        <v>0.9</v>
      </c>
      <c r="R23" s="179">
        <v>0.9</v>
      </c>
      <c r="S23" s="179">
        <v>0.9</v>
      </c>
      <c r="T23" s="179">
        <v>0.9</v>
      </c>
      <c r="U23" s="179">
        <v>0.9</v>
      </c>
      <c r="V23" s="179">
        <v>0.9</v>
      </c>
      <c r="W23" s="179">
        <v>0.9</v>
      </c>
      <c r="X23" s="179">
        <v>0.9</v>
      </c>
      <c r="Y23" s="179">
        <v>0.9</v>
      </c>
      <c r="Z23" s="179">
        <v>0.9</v>
      </c>
      <c r="AA23" s="179">
        <v>0.9</v>
      </c>
      <c r="AB23" s="179">
        <v>0.9</v>
      </c>
      <c r="AC23" s="179">
        <v>0.9</v>
      </c>
      <c r="AD23" s="179">
        <v>0.9</v>
      </c>
      <c r="AE23" s="179">
        <v>0.9</v>
      </c>
      <c r="AF23" s="179">
        <v>0.9</v>
      </c>
      <c r="AG23" s="179">
        <v>0.9</v>
      </c>
    </row>
    <row r="24" spans="1:35" x14ac:dyDescent="0.35">
      <c r="A24" s="132" t="s">
        <v>129</v>
      </c>
      <c r="B24" s="134"/>
      <c r="D24" s="160">
        <f>+(G5*G4+H4*H5)*D23</f>
        <v>629375</v>
      </c>
      <c r="E24" s="160">
        <f>+(($G$4*$G$5+$H$4*$H$5)*(1+$C$10)^D22)*E23</f>
        <v>962943.75</v>
      </c>
      <c r="F24" s="160">
        <f t="shared" ref="F24:AG24" si="2">+(($G$4*$G$5+$H$4*$H$5)*(1+$C$10)^E22)*F23</f>
        <v>1178643.1500000001</v>
      </c>
      <c r="G24" s="160">
        <f t="shared" si="2"/>
        <v>1202216.0129999998</v>
      </c>
      <c r="H24" s="160">
        <f t="shared" si="2"/>
        <v>1226260.33326</v>
      </c>
      <c r="I24" s="160">
        <f t="shared" si="2"/>
        <v>1250785.5399252002</v>
      </c>
      <c r="J24" s="160">
        <f t="shared" si="2"/>
        <v>1275801.250723704</v>
      </c>
      <c r="K24" s="160">
        <f t="shared" si="2"/>
        <v>1301317.2757381778</v>
      </c>
      <c r="L24" s="160">
        <f t="shared" si="2"/>
        <v>1327343.6212529417</v>
      </c>
      <c r="M24" s="160">
        <f t="shared" si="2"/>
        <v>1353890.4936780005</v>
      </c>
      <c r="N24" s="160">
        <f t="shared" si="2"/>
        <v>1380968.3035515605</v>
      </c>
      <c r="O24" s="160">
        <f t="shared" si="2"/>
        <v>1408587.6696225915</v>
      </c>
      <c r="P24" s="160">
        <f t="shared" si="2"/>
        <v>1436759.4230150436</v>
      </c>
      <c r="Q24" s="160">
        <f t="shared" si="2"/>
        <v>1465494.6114753443</v>
      </c>
      <c r="R24" s="160">
        <f t="shared" si="2"/>
        <v>1494804.5037048515</v>
      </c>
      <c r="S24" s="160">
        <f t="shared" si="2"/>
        <v>1524700.5937789478</v>
      </c>
      <c r="T24" s="160">
        <f t="shared" si="2"/>
        <v>1555194.605654527</v>
      </c>
      <c r="U24" s="160">
        <f t="shared" si="2"/>
        <v>1586298.4977676179</v>
      </c>
      <c r="V24" s="160">
        <f t="shared" si="2"/>
        <v>1618024.4677229701</v>
      </c>
      <c r="W24" s="160">
        <f t="shared" si="2"/>
        <v>1650384.9570774292</v>
      </c>
      <c r="X24" s="160">
        <f t="shared" si="2"/>
        <v>1683392.6562189781</v>
      </c>
      <c r="Y24" s="160">
        <f t="shared" si="2"/>
        <v>1717060.5093433575</v>
      </c>
      <c r="Z24" s="160">
        <f t="shared" si="2"/>
        <v>1751401.7195302248</v>
      </c>
      <c r="AA24" s="160">
        <f t="shared" si="2"/>
        <v>1786429.7539208289</v>
      </c>
      <c r="AB24" s="160">
        <f t="shared" si="2"/>
        <v>1822158.3489992456</v>
      </c>
      <c r="AC24" s="160">
        <f t="shared" si="2"/>
        <v>1858601.5159792304</v>
      </c>
      <c r="AD24" s="160">
        <f t="shared" si="2"/>
        <v>1895773.5462988152</v>
      </c>
      <c r="AE24" s="160">
        <f t="shared" si="2"/>
        <v>1933689.017224791</v>
      </c>
      <c r="AF24" s="160">
        <f t="shared" si="2"/>
        <v>1972362.7975692872</v>
      </c>
      <c r="AG24" s="160">
        <f t="shared" si="2"/>
        <v>2011810.053520673</v>
      </c>
    </row>
    <row r="25" spans="1:35" x14ac:dyDescent="0.35">
      <c r="A25" s="132" t="s">
        <v>151</v>
      </c>
      <c r="B25" s="143"/>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f>C7</f>
        <v>298227.84810126584</v>
      </c>
    </row>
    <row r="26" spans="1:35" ht="16" thickBot="1" x14ac:dyDescent="0.4">
      <c r="A26" s="132" t="s">
        <v>152</v>
      </c>
      <c r="C26" s="161"/>
      <c r="D26" s="162">
        <f t="shared" ref="D26:AG26" si="3">D24+D25</f>
        <v>629375</v>
      </c>
      <c r="E26" s="162">
        <f t="shared" si="3"/>
        <v>962943.75</v>
      </c>
      <c r="F26" s="162">
        <f t="shared" si="3"/>
        <v>1178643.1500000001</v>
      </c>
      <c r="G26" s="162">
        <f t="shared" si="3"/>
        <v>1202216.0129999998</v>
      </c>
      <c r="H26" s="162">
        <f t="shared" si="3"/>
        <v>1226260.33326</v>
      </c>
      <c r="I26" s="162">
        <f t="shared" si="3"/>
        <v>1250785.5399252002</v>
      </c>
      <c r="J26" s="162">
        <f t="shared" si="3"/>
        <v>1275801.250723704</v>
      </c>
      <c r="K26" s="162">
        <f t="shared" si="3"/>
        <v>1301317.2757381778</v>
      </c>
      <c r="L26" s="162">
        <f t="shared" si="3"/>
        <v>1327343.6212529417</v>
      </c>
      <c r="M26" s="162">
        <f t="shared" si="3"/>
        <v>1353890.4936780005</v>
      </c>
      <c r="N26" s="162">
        <f t="shared" si="3"/>
        <v>1380968.3035515605</v>
      </c>
      <c r="O26" s="162">
        <f t="shared" si="3"/>
        <v>1408587.6696225915</v>
      </c>
      <c r="P26" s="162">
        <f t="shared" si="3"/>
        <v>1436759.4230150436</v>
      </c>
      <c r="Q26" s="162">
        <f t="shared" si="3"/>
        <v>1465494.6114753443</v>
      </c>
      <c r="R26" s="162">
        <f t="shared" si="3"/>
        <v>1494804.5037048515</v>
      </c>
      <c r="S26" s="162">
        <f t="shared" si="3"/>
        <v>1524700.5937789478</v>
      </c>
      <c r="T26" s="162">
        <f t="shared" si="3"/>
        <v>1555194.605654527</v>
      </c>
      <c r="U26" s="162">
        <f t="shared" si="3"/>
        <v>1586298.4977676179</v>
      </c>
      <c r="V26" s="162">
        <f t="shared" si="3"/>
        <v>1618024.4677229701</v>
      </c>
      <c r="W26" s="162">
        <f t="shared" si="3"/>
        <v>1650384.9570774292</v>
      </c>
      <c r="X26" s="162">
        <f t="shared" si="3"/>
        <v>1683392.6562189781</v>
      </c>
      <c r="Y26" s="162">
        <f t="shared" si="3"/>
        <v>1717060.5093433575</v>
      </c>
      <c r="Z26" s="162">
        <f t="shared" si="3"/>
        <v>1751401.7195302248</v>
      </c>
      <c r="AA26" s="162">
        <f t="shared" si="3"/>
        <v>1786429.7539208289</v>
      </c>
      <c r="AB26" s="162">
        <f t="shared" si="3"/>
        <v>1822158.3489992456</v>
      </c>
      <c r="AC26" s="162">
        <f t="shared" si="3"/>
        <v>1858601.5159792304</v>
      </c>
      <c r="AD26" s="162">
        <f t="shared" si="3"/>
        <v>1895773.5462988152</v>
      </c>
      <c r="AE26" s="162">
        <f t="shared" si="3"/>
        <v>1933689.017224791</v>
      </c>
      <c r="AF26" s="162">
        <f t="shared" si="3"/>
        <v>1972362.7975692872</v>
      </c>
      <c r="AG26" s="162">
        <f t="shared" si="3"/>
        <v>2310037.9016219387</v>
      </c>
    </row>
    <row r="27" spans="1:35" ht="16" thickTop="1" x14ac:dyDescent="0.35">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row>
    <row r="28" spans="1:35" x14ac:dyDescent="0.35">
      <c r="A28" s="132" t="s">
        <v>153</v>
      </c>
      <c r="C28" s="164">
        <f>C6-(C6*C13)</f>
        <v>727609.99</v>
      </c>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row>
    <row r="29" spans="1:35" x14ac:dyDescent="0.35">
      <c r="A29" s="132" t="s">
        <v>154</v>
      </c>
      <c r="D29" s="160">
        <f>+(($G$4*$G$6+$H$4*$H$6)*(1+$C$10)^C22)*D23</f>
        <v>493549.00555555552</v>
      </c>
      <c r="E29" s="160">
        <f>+(($G$4*$G$6+$H$4*$H$6)*(1+$C$10)^D22)*E23</f>
        <v>755129.97849999997</v>
      </c>
      <c r="F29" s="160">
        <f t="shared" ref="F29:AG29" si="4">+(($G$4*$G$6+$H$4*$H$6)*(1+$C$10)^E22)*F23</f>
        <v>924279.09368399985</v>
      </c>
      <c r="G29" s="160">
        <f t="shared" si="4"/>
        <v>942764.67555767985</v>
      </c>
      <c r="H29" s="160">
        <f t="shared" si="4"/>
        <v>961619.96906883363</v>
      </c>
      <c r="I29" s="160">
        <f t="shared" si="4"/>
        <v>980852.36845021008</v>
      </c>
      <c r="J29" s="160">
        <f t="shared" si="4"/>
        <v>1000469.4158192145</v>
      </c>
      <c r="K29" s="160">
        <f t="shared" si="4"/>
        <v>1020478.8041355985</v>
      </c>
      <c r="L29" s="160">
        <f t="shared" si="4"/>
        <v>1040888.3802183106</v>
      </c>
      <c r="M29" s="160">
        <f t="shared" si="4"/>
        <v>1061706.1478226769</v>
      </c>
      <c r="N29" s="160">
        <f t="shared" si="4"/>
        <v>1082940.2707791303</v>
      </c>
      <c r="O29" s="160">
        <f t="shared" si="4"/>
        <v>1104599.0761947129</v>
      </c>
      <c r="P29" s="160">
        <f t="shared" si="4"/>
        <v>1126691.0577186071</v>
      </c>
      <c r="Q29" s="160">
        <f t="shared" si="4"/>
        <v>1149224.8788729792</v>
      </c>
      <c r="R29" s="160">
        <f t="shared" si="4"/>
        <v>1172209.376450439</v>
      </c>
      <c r="S29" s="160">
        <f t="shared" si="4"/>
        <v>1195653.5639794476</v>
      </c>
      <c r="T29" s="160">
        <f t="shared" si="4"/>
        <v>1219566.6352590367</v>
      </c>
      <c r="U29" s="160">
        <f t="shared" si="4"/>
        <v>1243957.9679642175</v>
      </c>
      <c r="V29" s="160">
        <f t="shared" si="4"/>
        <v>1268837.1273235017</v>
      </c>
      <c r="W29" s="160">
        <f t="shared" si="4"/>
        <v>1294213.8698699716</v>
      </c>
      <c r="X29" s="160">
        <f t="shared" si="4"/>
        <v>1320098.1472673712</v>
      </c>
      <c r="Y29" s="160">
        <f t="shared" si="4"/>
        <v>1346500.1102127186</v>
      </c>
      <c r="Z29" s="160">
        <f t="shared" si="4"/>
        <v>1373430.1124169731</v>
      </c>
      <c r="AA29" s="160">
        <f t="shared" si="4"/>
        <v>1400898.7146653121</v>
      </c>
      <c r="AB29" s="160">
        <f t="shared" si="4"/>
        <v>1428916.6889586186</v>
      </c>
      <c r="AC29" s="160">
        <f t="shared" si="4"/>
        <v>1457495.0227377908</v>
      </c>
      <c r="AD29" s="160">
        <f t="shared" si="4"/>
        <v>1486644.9231925467</v>
      </c>
      <c r="AE29" s="160">
        <f t="shared" si="4"/>
        <v>1516377.8216563975</v>
      </c>
      <c r="AF29" s="160">
        <f t="shared" si="4"/>
        <v>1546705.3780895257</v>
      </c>
      <c r="AG29" s="160">
        <f t="shared" si="4"/>
        <v>1577639.4856513161</v>
      </c>
      <c r="AH29" s="160"/>
      <c r="AI29" s="160"/>
    </row>
    <row r="30" spans="1:35" x14ac:dyDescent="0.35">
      <c r="A30" s="132" t="s">
        <v>155</v>
      </c>
      <c r="D30" s="160">
        <f>G7+G8</f>
        <v>90052.934849999991</v>
      </c>
      <c r="E30" s="160">
        <f>D30*(1+$C$11)</f>
        <v>91853.993546999991</v>
      </c>
      <c r="F30" s="160">
        <f t="shared" ref="F30:AG30" si="5">E30*(1+$C$11)</f>
        <v>93691.073417939988</v>
      </c>
      <c r="G30" s="160">
        <f t="shared" si="5"/>
        <v>95564.894886298789</v>
      </c>
      <c r="H30" s="160">
        <f t="shared" si="5"/>
        <v>97476.192784024766</v>
      </c>
      <c r="I30" s="160">
        <f t="shared" si="5"/>
        <v>99425.716639705264</v>
      </c>
      <c r="J30" s="160">
        <f t="shared" si="5"/>
        <v>101414.23097249937</v>
      </c>
      <c r="K30" s="160">
        <f t="shared" si="5"/>
        <v>103442.51559194936</v>
      </c>
      <c r="L30" s="160">
        <f t="shared" si="5"/>
        <v>105511.36590378835</v>
      </c>
      <c r="M30" s="160">
        <f t="shared" si="5"/>
        <v>107621.59322186411</v>
      </c>
      <c r="N30" s="160">
        <f t="shared" si="5"/>
        <v>109774.02508630139</v>
      </c>
      <c r="O30" s="160">
        <f t="shared" si="5"/>
        <v>111969.50558802743</v>
      </c>
      <c r="P30" s="160">
        <f t="shared" si="5"/>
        <v>114208.89569978799</v>
      </c>
      <c r="Q30" s="160">
        <f t="shared" si="5"/>
        <v>116493.07361378375</v>
      </c>
      <c r="R30" s="160">
        <f t="shared" si="5"/>
        <v>118822.93508605943</v>
      </c>
      <c r="S30" s="160">
        <f t="shared" si="5"/>
        <v>121199.39378778062</v>
      </c>
      <c r="T30" s="160">
        <f t="shared" si="5"/>
        <v>123623.38166353623</v>
      </c>
      <c r="U30" s="160">
        <f t="shared" si="5"/>
        <v>126095.84929680696</v>
      </c>
      <c r="V30" s="160">
        <f t="shared" si="5"/>
        <v>128617.7662827431</v>
      </c>
      <c r="W30" s="160">
        <f t="shared" si="5"/>
        <v>131190.12160839798</v>
      </c>
      <c r="X30" s="160">
        <f t="shared" si="5"/>
        <v>133813.92404056594</v>
      </c>
      <c r="Y30" s="160">
        <f t="shared" si="5"/>
        <v>136490.20252137727</v>
      </c>
      <c r="Z30" s="160">
        <f t="shared" si="5"/>
        <v>139220.00657180481</v>
      </c>
      <c r="AA30" s="160">
        <f t="shared" si="5"/>
        <v>142004.40670324091</v>
      </c>
      <c r="AB30" s="160">
        <f t="shared" si="5"/>
        <v>144844.49483730574</v>
      </c>
      <c r="AC30" s="160">
        <f t="shared" si="5"/>
        <v>147741.38473405186</v>
      </c>
      <c r="AD30" s="160">
        <f t="shared" si="5"/>
        <v>150696.21242873289</v>
      </c>
      <c r="AE30" s="160">
        <f t="shared" si="5"/>
        <v>153710.13667730754</v>
      </c>
      <c r="AF30" s="160">
        <f t="shared" si="5"/>
        <v>156784.33941085369</v>
      </c>
      <c r="AG30" s="160">
        <f t="shared" si="5"/>
        <v>159920.02619907077</v>
      </c>
    </row>
    <row r="31" spans="1:35" x14ac:dyDescent="0.35">
      <c r="A31" s="132" t="s">
        <v>43</v>
      </c>
      <c r="B31" s="143"/>
      <c r="D31" s="160">
        <f t="shared" ref="D31:M31" si="6">+$F$12*D18+$F$13*D19+$F$14*D20</f>
        <v>55729.464921291132</v>
      </c>
      <c r="E31" s="160">
        <f t="shared" si="6"/>
        <v>74474.987237291134</v>
      </c>
      <c r="F31" s="160">
        <f t="shared" si="6"/>
        <v>64585.968057291131</v>
      </c>
      <c r="G31" s="160">
        <f t="shared" si="6"/>
        <v>59079.852613291136</v>
      </c>
      <c r="H31" s="160">
        <f t="shared" si="6"/>
        <v>59079.852613291136</v>
      </c>
      <c r="I31" s="160">
        <f t="shared" si="6"/>
        <v>79071.852613291136</v>
      </c>
      <c r="J31" s="160">
        <f t="shared" si="6"/>
        <v>54081.852613291136</v>
      </c>
      <c r="K31" s="160">
        <f t="shared" si="6"/>
        <v>42746.389837291135</v>
      </c>
      <c r="L31" s="160">
        <f t="shared" si="6"/>
        <v>31392.405063291139</v>
      </c>
      <c r="M31" s="160">
        <f t="shared" si="6"/>
        <v>31392.405063291139</v>
      </c>
      <c r="N31" s="160">
        <f t="shared" ref="N31:V31" si="7">+$F$12*N18+$F$13*N19+$F$14*N20+$K$12*D19</f>
        <v>52518.699663569467</v>
      </c>
      <c r="O31" s="160">
        <f t="shared" si="7"/>
        <v>69127.794017849898</v>
      </c>
      <c r="P31" s="160">
        <f t="shared" si="7"/>
        <v>61040.230258639713</v>
      </c>
      <c r="Q31" s="160">
        <f t="shared" si="7"/>
        <v>55556.46751458988</v>
      </c>
      <c r="R31" s="160">
        <f t="shared" si="7"/>
        <v>55556.46751458988</v>
      </c>
      <c r="S31" s="160">
        <f t="shared" si="7"/>
        <v>55556.46751458988</v>
      </c>
      <c r="T31" s="160">
        <f t="shared" si="7"/>
        <v>55556.46751458988</v>
      </c>
      <c r="U31" s="160">
        <f t="shared" si="7"/>
        <v>43484.299171573693</v>
      </c>
      <c r="V31" s="160">
        <f t="shared" si="7"/>
        <v>31392.405063291139</v>
      </c>
      <c r="W31" s="160">
        <f t="shared" ref="W31:AG31" si="8">+$F$12*W18+$F$13*W19+$F$14*W20+$K$12*M19+$K$13*D19</f>
        <v>58959.492909841596</v>
      </c>
      <c r="X31" s="160">
        <f t="shared" si="8"/>
        <v>80632.217435327577</v>
      </c>
      <c r="Y31" s="160">
        <f t="shared" si="8"/>
        <v>70078.990528618247</v>
      </c>
      <c r="Z31" s="160">
        <f t="shared" si="8"/>
        <v>62923.387894312902</v>
      </c>
      <c r="AA31" s="160">
        <f t="shared" si="8"/>
        <v>62923.387894312902</v>
      </c>
      <c r="AB31" s="160">
        <f t="shared" si="8"/>
        <v>62923.387894312902</v>
      </c>
      <c r="AC31" s="160">
        <f t="shared" si="8"/>
        <v>62923.387894312902</v>
      </c>
      <c r="AD31" s="160">
        <f t="shared" si="8"/>
        <v>47170.766267712643</v>
      </c>
      <c r="AE31" s="160">
        <f t="shared" si="8"/>
        <v>31392.405063291139</v>
      </c>
      <c r="AF31" s="160">
        <f t="shared" si="8"/>
        <v>31392.405063291139</v>
      </c>
      <c r="AG31" s="160">
        <f t="shared" si="8"/>
        <v>31392.405063291139</v>
      </c>
    </row>
    <row r="32" spans="1:35" x14ac:dyDescent="0.35">
      <c r="A32" s="132" t="s">
        <v>78</v>
      </c>
      <c r="B32" s="134"/>
      <c r="D32" s="160">
        <f>IF(D22&lt;=$C$17,-IPMT($C$14,D22,$C$17,$C$6*$C$13,0),0)</f>
        <v>36380.499499999998</v>
      </c>
      <c r="E32" s="160">
        <f t="shared" ref="E32:AG32" si="9">IF(E22&lt;=$C$17,-IPMT($C$14,E22,$C$17,$C$6*$C$13,0),0)</f>
        <v>34694.543928803032</v>
      </c>
      <c r="F32" s="160">
        <f t="shared" si="9"/>
        <v>32924.29057904621</v>
      </c>
      <c r="G32" s="160">
        <f t="shared" si="9"/>
        <v>31065.524561801543</v>
      </c>
      <c r="H32" s="160">
        <f t="shared" si="9"/>
        <v>29113.820243694659</v>
      </c>
      <c r="I32" s="160">
        <f t="shared" si="9"/>
        <v>27064.530709682425</v>
      </c>
      <c r="J32" s="160">
        <f t="shared" si="9"/>
        <v>24912.776698969566</v>
      </c>
      <c r="K32" s="160">
        <f t="shared" si="9"/>
        <v>22653.434987721077</v>
      </c>
      <c r="L32" s="160">
        <f t="shared" si="9"/>
        <v>20281.126190910159</v>
      </c>
      <c r="M32" s="160">
        <f t="shared" si="9"/>
        <v>17790.20195425869</v>
      </c>
      <c r="N32" s="160">
        <f t="shared" si="9"/>
        <v>15174.731505774655</v>
      </c>
      <c r="O32" s="160">
        <f t="shared" si="9"/>
        <v>12428.487534866415</v>
      </c>
      <c r="P32" s="160">
        <f t="shared" si="9"/>
        <v>9544.9313654127654</v>
      </c>
      <c r="Q32" s="160">
        <f t="shared" si="9"/>
        <v>6517.1973874864325</v>
      </c>
      <c r="R32" s="160">
        <f t="shared" si="9"/>
        <v>3338.0767106637827</v>
      </c>
      <c r="S32" s="160">
        <f t="shared" si="9"/>
        <v>0</v>
      </c>
      <c r="T32" s="160">
        <f t="shared" si="9"/>
        <v>0</v>
      </c>
      <c r="U32" s="160">
        <f t="shared" si="9"/>
        <v>0</v>
      </c>
      <c r="V32" s="160">
        <f t="shared" si="9"/>
        <v>0</v>
      </c>
      <c r="W32" s="160">
        <f t="shared" si="9"/>
        <v>0</v>
      </c>
      <c r="X32" s="160">
        <f t="shared" si="9"/>
        <v>0</v>
      </c>
      <c r="Y32" s="160">
        <f t="shared" si="9"/>
        <v>0</v>
      </c>
      <c r="Z32" s="160">
        <f t="shared" si="9"/>
        <v>0</v>
      </c>
      <c r="AA32" s="160">
        <f t="shared" si="9"/>
        <v>0</v>
      </c>
      <c r="AB32" s="160">
        <f t="shared" si="9"/>
        <v>0</v>
      </c>
      <c r="AC32" s="160">
        <f t="shared" si="9"/>
        <v>0</v>
      </c>
      <c r="AD32" s="160">
        <f t="shared" si="9"/>
        <v>0</v>
      </c>
      <c r="AE32" s="160">
        <f t="shared" si="9"/>
        <v>0</v>
      </c>
      <c r="AF32" s="160">
        <f t="shared" si="9"/>
        <v>0</v>
      </c>
      <c r="AG32" s="160">
        <f t="shared" si="9"/>
        <v>0</v>
      </c>
    </row>
    <row r="33" spans="1:34" x14ac:dyDescent="0.35">
      <c r="A33" s="132" t="s">
        <v>156</v>
      </c>
      <c r="D33" s="160">
        <f t="shared" ref="D33:AG33" si="10">IF(D22&lt;=$C$17,+$G9-D32,0)</f>
        <v>33719.11142393943</v>
      </c>
      <c r="E33" s="160">
        <f t="shared" si="10"/>
        <v>35405.066995136396</v>
      </c>
      <c r="F33" s="160">
        <f t="shared" si="10"/>
        <v>37175.320344893218</v>
      </c>
      <c r="G33" s="160">
        <f t="shared" si="10"/>
        <v>39034.086362137881</v>
      </c>
      <c r="H33" s="160">
        <f t="shared" si="10"/>
        <v>40985.790680244769</v>
      </c>
      <c r="I33" s="160">
        <f t="shared" si="10"/>
        <v>43035.080214257003</v>
      </c>
      <c r="J33" s="160">
        <f t="shared" si="10"/>
        <v>45186.834224969862</v>
      </c>
      <c r="K33" s="160">
        <f t="shared" si="10"/>
        <v>47446.175936218351</v>
      </c>
      <c r="L33" s="160">
        <f t="shared" si="10"/>
        <v>49818.484733029269</v>
      </c>
      <c r="M33" s="160">
        <f t="shared" si="10"/>
        <v>52309.408969680735</v>
      </c>
      <c r="N33" s="160">
        <f t="shared" si="10"/>
        <v>54924.879418164775</v>
      </c>
      <c r="O33" s="160">
        <f t="shared" si="10"/>
        <v>57671.123389073015</v>
      </c>
      <c r="P33" s="160">
        <f t="shared" si="10"/>
        <v>60554.679558526666</v>
      </c>
      <c r="Q33" s="160">
        <f t="shared" si="10"/>
        <v>63582.413536452994</v>
      </c>
      <c r="R33" s="160">
        <f t="shared" si="10"/>
        <v>66761.534213275649</v>
      </c>
      <c r="S33" s="160">
        <f t="shared" si="10"/>
        <v>0</v>
      </c>
      <c r="T33" s="160">
        <f t="shared" si="10"/>
        <v>0</v>
      </c>
      <c r="U33" s="160">
        <f t="shared" si="10"/>
        <v>0</v>
      </c>
      <c r="V33" s="160">
        <f t="shared" si="10"/>
        <v>0</v>
      </c>
      <c r="W33" s="160">
        <f t="shared" si="10"/>
        <v>0</v>
      </c>
      <c r="X33" s="160">
        <f t="shared" si="10"/>
        <v>0</v>
      </c>
      <c r="Y33" s="160">
        <f t="shared" si="10"/>
        <v>0</v>
      </c>
      <c r="Z33" s="160">
        <f t="shared" si="10"/>
        <v>0</v>
      </c>
      <c r="AA33" s="160">
        <f t="shared" si="10"/>
        <v>0</v>
      </c>
      <c r="AB33" s="160">
        <f t="shared" si="10"/>
        <v>0</v>
      </c>
      <c r="AC33" s="160">
        <f t="shared" si="10"/>
        <v>0</v>
      </c>
      <c r="AD33" s="160">
        <f t="shared" si="10"/>
        <v>0</v>
      </c>
      <c r="AE33" s="160">
        <f t="shared" si="10"/>
        <v>0</v>
      </c>
      <c r="AF33" s="160">
        <f t="shared" si="10"/>
        <v>0</v>
      </c>
      <c r="AG33" s="160">
        <f t="shared" si="10"/>
        <v>0</v>
      </c>
    </row>
    <row r="34" spans="1:34" x14ac:dyDescent="0.35">
      <c r="A34" s="134" t="s">
        <v>157</v>
      </c>
      <c r="D34" s="163"/>
      <c r="E34" s="163"/>
      <c r="F34" s="163"/>
      <c r="G34" s="163"/>
      <c r="H34" s="163"/>
      <c r="I34" s="163"/>
      <c r="J34" s="163"/>
      <c r="K34" s="163"/>
      <c r="L34" s="163"/>
      <c r="M34" s="160">
        <f>K12</f>
        <v>197257.65266366318</v>
      </c>
      <c r="N34" s="163"/>
      <c r="O34" s="163"/>
      <c r="P34" s="163"/>
      <c r="Q34" s="163"/>
      <c r="R34" s="163"/>
      <c r="S34" s="163"/>
      <c r="T34" s="163"/>
      <c r="U34" s="163"/>
      <c r="V34" s="163"/>
      <c r="W34" s="160">
        <f>K13</f>
        <v>257395.77821242256</v>
      </c>
      <c r="X34" s="163"/>
      <c r="Y34" s="163"/>
      <c r="Z34" s="163"/>
      <c r="AA34" s="163"/>
      <c r="AB34" s="163"/>
      <c r="AC34" s="163"/>
      <c r="AD34" s="163"/>
      <c r="AE34" s="163"/>
      <c r="AF34" s="163"/>
      <c r="AG34" s="160">
        <f>+C8</f>
        <v>0</v>
      </c>
      <c r="AH34" s="165"/>
    </row>
    <row r="35" spans="1:34" x14ac:dyDescent="0.35">
      <c r="A35" s="132" t="s">
        <v>158</v>
      </c>
      <c r="D35" s="160">
        <f>D26-D29-D30-D31-D32</f>
        <v>-46336.904826846636</v>
      </c>
      <c r="E35" s="160">
        <f t="shared" ref="E35:AF35" si="11">E26-E29-E30-E31-E32</f>
        <v>6790.2467869058746</v>
      </c>
      <c r="F35" s="160">
        <f t="shared" si="11"/>
        <v>63162.724261722949</v>
      </c>
      <c r="G35" s="160">
        <f t="shared" si="11"/>
        <v>73741.06538092847</v>
      </c>
      <c r="H35" s="160">
        <f t="shared" si="11"/>
        <v>78970.498550155811</v>
      </c>
      <c r="I35" s="160">
        <f t="shared" si="11"/>
        <v>64371.07151231126</v>
      </c>
      <c r="J35" s="160">
        <f t="shared" si="11"/>
        <v>94922.974619729401</v>
      </c>
      <c r="K35" s="160">
        <f t="shared" si="11"/>
        <v>111996.13118561778</v>
      </c>
      <c r="L35" s="160">
        <f t="shared" si="11"/>
        <v>129270.34387664137</v>
      </c>
      <c r="M35" s="160">
        <f t="shared" si="11"/>
        <v>135380.14561590966</v>
      </c>
      <c r="N35" s="160">
        <f t="shared" si="11"/>
        <v>120560.57651678473</v>
      </c>
      <c r="O35" s="160">
        <f t="shared" si="11"/>
        <v>110462.80628713484</v>
      </c>
      <c r="P35" s="160">
        <f t="shared" si="11"/>
        <v>125274.30797259598</v>
      </c>
      <c r="Q35" s="160">
        <f t="shared" si="11"/>
        <v>137702.994086505</v>
      </c>
      <c r="R35" s="160">
        <f t="shared" si="11"/>
        <v>144877.64794309938</v>
      </c>
      <c r="S35" s="160">
        <f t="shared" si="11"/>
        <v>152291.16849712975</v>
      </c>
      <c r="T35" s="160">
        <f t="shared" si="11"/>
        <v>156448.12121736415</v>
      </c>
      <c r="U35" s="160">
        <f t="shared" si="11"/>
        <v>172760.38133501975</v>
      </c>
      <c r="V35" s="160">
        <f t="shared" si="11"/>
        <v>189177.16905343407</v>
      </c>
      <c r="W35" s="160">
        <f t="shared" si="11"/>
        <v>166021.47268921795</v>
      </c>
      <c r="X35" s="160">
        <f t="shared" si="11"/>
        <v>148848.36747571343</v>
      </c>
      <c r="Y35" s="160">
        <f t="shared" si="11"/>
        <v>163991.2060806434</v>
      </c>
      <c r="Z35" s="160">
        <f t="shared" si="11"/>
        <v>175828.21264713397</v>
      </c>
      <c r="AA35" s="160">
        <f t="shared" si="11"/>
        <v>180603.24465796302</v>
      </c>
      <c r="AB35" s="160">
        <f t="shared" si="11"/>
        <v>185473.77730900835</v>
      </c>
      <c r="AC35" s="160">
        <f t="shared" si="11"/>
        <v>190441.72061307481</v>
      </c>
      <c r="AD35" s="160">
        <f t="shared" si="11"/>
        <v>211261.64440982294</v>
      </c>
      <c r="AE35" s="160">
        <f t="shared" si="11"/>
        <v>232208.65382779477</v>
      </c>
      <c r="AF35" s="160">
        <f t="shared" si="11"/>
        <v>237480.67500561668</v>
      </c>
      <c r="AG35" s="160">
        <f>AG26-(C6-SUM(D31:AG31))-AG29-AG30-AG31-AG32</f>
        <v>720002.56748308055</v>
      </c>
    </row>
    <row r="36" spans="1:34" x14ac:dyDescent="0.35">
      <c r="A36" s="132" t="s">
        <v>159</v>
      </c>
      <c r="D36" s="160">
        <f t="shared" ref="D36:AG36" si="12">D35*$C$12</f>
        <v>-16217.916689396321</v>
      </c>
      <c r="E36" s="160">
        <f t="shared" si="12"/>
        <v>2376.5863754170559</v>
      </c>
      <c r="F36" s="160">
        <f t="shared" si="12"/>
        <v>22106.953491603032</v>
      </c>
      <c r="G36" s="160">
        <f t="shared" si="12"/>
        <v>25809.372883324962</v>
      </c>
      <c r="H36" s="160">
        <f t="shared" si="12"/>
        <v>27639.674492554532</v>
      </c>
      <c r="I36" s="160">
        <f t="shared" si="12"/>
        <v>22529.87502930894</v>
      </c>
      <c r="J36" s="160">
        <f t="shared" si="12"/>
        <v>33223.04111690529</v>
      </c>
      <c r="K36" s="160">
        <f t="shared" si="12"/>
        <v>39198.645914966219</v>
      </c>
      <c r="L36" s="160">
        <f t="shared" si="12"/>
        <v>45244.620356824482</v>
      </c>
      <c r="M36" s="160">
        <f t="shared" si="12"/>
        <v>47383.050965568378</v>
      </c>
      <c r="N36" s="160">
        <f t="shared" si="12"/>
        <v>42196.201780874653</v>
      </c>
      <c r="O36" s="160">
        <f t="shared" si="12"/>
        <v>38661.982200497194</v>
      </c>
      <c r="P36" s="160">
        <f t="shared" si="12"/>
        <v>43846.007790408592</v>
      </c>
      <c r="Q36" s="160">
        <f t="shared" si="12"/>
        <v>48196.047930276749</v>
      </c>
      <c r="R36" s="160">
        <f t="shared" si="12"/>
        <v>50707.176780084781</v>
      </c>
      <c r="S36" s="160">
        <f t="shared" si="12"/>
        <v>53301.908973995407</v>
      </c>
      <c r="T36" s="160">
        <f t="shared" si="12"/>
        <v>54756.842426077448</v>
      </c>
      <c r="U36" s="160">
        <f t="shared" si="12"/>
        <v>60466.133467256906</v>
      </c>
      <c r="V36" s="160">
        <f t="shared" si="12"/>
        <v>66212.009168701916</v>
      </c>
      <c r="W36" s="160">
        <f t="shared" si="12"/>
        <v>58107.515441226278</v>
      </c>
      <c r="X36" s="160">
        <f t="shared" si="12"/>
        <v>52096.928616499696</v>
      </c>
      <c r="Y36" s="160">
        <f t="shared" si="12"/>
        <v>57396.922128225189</v>
      </c>
      <c r="Z36" s="160">
        <f t="shared" si="12"/>
        <v>61539.874426496885</v>
      </c>
      <c r="AA36" s="160">
        <f t="shared" si="12"/>
        <v>63211.135630287055</v>
      </c>
      <c r="AB36" s="160">
        <f t="shared" si="12"/>
        <v>64915.822058152917</v>
      </c>
      <c r="AC36" s="160">
        <f t="shared" si="12"/>
        <v>66654.602214576182</v>
      </c>
      <c r="AD36" s="160">
        <f t="shared" si="12"/>
        <v>73941.575543438026</v>
      </c>
      <c r="AE36" s="160">
        <f t="shared" si="12"/>
        <v>81273.028839728169</v>
      </c>
      <c r="AF36" s="160">
        <f t="shared" si="12"/>
        <v>83118.236251965835</v>
      </c>
      <c r="AG36" s="160">
        <f t="shared" si="12"/>
        <v>252000.89861907819</v>
      </c>
    </row>
    <row r="37" spans="1:34" x14ac:dyDescent="0.35">
      <c r="A37" s="132" t="s">
        <v>160</v>
      </c>
      <c r="C37" s="166"/>
      <c r="D37" s="167">
        <f>D29+D30+D32+D33+D36</f>
        <v>637483.63464009867</v>
      </c>
      <c r="E37" s="167">
        <f t="shared" ref="E37:Q37" si="13">E29+E30+E32+E33+E36</f>
        <v>919460.16934635653</v>
      </c>
      <c r="F37" s="167">
        <f t="shared" si="13"/>
        <v>1110176.7315174823</v>
      </c>
      <c r="G37" s="167">
        <f t="shared" si="13"/>
        <v>1134238.5542512431</v>
      </c>
      <c r="H37" s="167">
        <f t="shared" si="13"/>
        <v>1156835.4472693524</v>
      </c>
      <c r="I37" s="167">
        <f t="shared" si="13"/>
        <v>1172907.5710431638</v>
      </c>
      <c r="J37" s="167">
        <f t="shared" si="13"/>
        <v>1205206.2988325588</v>
      </c>
      <c r="K37" s="167">
        <f t="shared" si="13"/>
        <v>1233219.5765664536</v>
      </c>
      <c r="L37" s="167">
        <f t="shared" si="13"/>
        <v>1261743.9774028629</v>
      </c>
      <c r="M37" s="167">
        <f>M29+M30+M32+M33+M36+M34</f>
        <v>1484068.0555977121</v>
      </c>
      <c r="N37" s="167">
        <f t="shared" si="13"/>
        <v>1305010.1085702458</v>
      </c>
      <c r="O37" s="167">
        <f t="shared" si="13"/>
        <v>1325330.174907177</v>
      </c>
      <c r="P37" s="167">
        <f t="shared" si="13"/>
        <v>1354845.572132743</v>
      </c>
      <c r="Q37" s="168">
        <f t="shared" si="13"/>
        <v>1384013.6113409791</v>
      </c>
      <c r="R37" s="168">
        <f>R29+R30+R32+R33+R36</f>
        <v>1411839.0992405226</v>
      </c>
      <c r="S37" s="168">
        <f>S29+S30+S32+S33+S36</f>
        <v>1370154.8667412235</v>
      </c>
      <c r="T37" s="168">
        <f>T29+T30+T32+T33+T36</f>
        <v>1397946.8593486503</v>
      </c>
      <c r="U37" s="168">
        <f>U29+U30+U32+U33+U36</f>
        <v>1430519.9507282814</v>
      </c>
      <c r="V37" s="168">
        <f>V29+V30+V32+V33+V36+V34</f>
        <v>1463666.9027749468</v>
      </c>
      <c r="W37" s="168">
        <f>W29+W30+W32+W33+W36+W34</f>
        <v>1740907.2851320184</v>
      </c>
      <c r="X37" s="168">
        <f t="shared" ref="X37:AF37" si="14">X29+X30+X32+X33+X36</f>
        <v>1506008.9999244369</v>
      </c>
      <c r="Y37" s="168">
        <f t="shared" si="14"/>
        <v>1540387.2348623211</v>
      </c>
      <c r="Z37" s="168">
        <f t="shared" si="14"/>
        <v>1574189.9934152749</v>
      </c>
      <c r="AA37" s="168">
        <f t="shared" si="14"/>
        <v>1606114.25699884</v>
      </c>
      <c r="AB37" s="168">
        <f t="shared" si="14"/>
        <v>1638677.0058540772</v>
      </c>
      <c r="AC37" s="168">
        <f t="shared" si="14"/>
        <v>1671891.0096864188</v>
      </c>
      <c r="AD37" s="168">
        <f t="shared" si="14"/>
        <v>1711282.7111647176</v>
      </c>
      <c r="AE37" s="168">
        <f t="shared" si="14"/>
        <v>1751360.9871734332</v>
      </c>
      <c r="AF37" s="168">
        <f t="shared" si="14"/>
        <v>1786607.9537523452</v>
      </c>
      <c r="AG37" s="168">
        <f>AG29+AG30+AG32+AG33+AG34+AG36</f>
        <v>1989560.410469465</v>
      </c>
    </row>
    <row r="38" spans="1:34" ht="16" thickBot="1" x14ac:dyDescent="0.4">
      <c r="A38" s="132" t="s">
        <v>161</v>
      </c>
      <c r="C38" s="161">
        <f>-C28</f>
        <v>-727609.99</v>
      </c>
      <c r="D38" s="169">
        <f t="shared" ref="D38:AG38" si="15">D26-D37</f>
        <v>-8108.6346400986658</v>
      </c>
      <c r="E38" s="169">
        <f t="shared" si="15"/>
        <v>43483.580653643468</v>
      </c>
      <c r="F38" s="169">
        <f t="shared" si="15"/>
        <v>68466.418482517824</v>
      </c>
      <c r="G38" s="162">
        <f t="shared" si="15"/>
        <v>67977.458748756675</v>
      </c>
      <c r="H38" s="162">
        <f t="shared" si="15"/>
        <v>69424.885990647599</v>
      </c>
      <c r="I38" s="162">
        <f t="shared" si="15"/>
        <v>77877.968882036395</v>
      </c>
      <c r="J38" s="162">
        <f t="shared" si="15"/>
        <v>70594.951891145203</v>
      </c>
      <c r="K38" s="162">
        <f t="shared" si="15"/>
        <v>68097.699171724264</v>
      </c>
      <c r="L38" s="162">
        <f t="shared" si="15"/>
        <v>65599.643850078806</v>
      </c>
      <c r="M38" s="162">
        <f t="shared" si="15"/>
        <v>-130177.56191971153</v>
      </c>
      <c r="N38" s="162">
        <f t="shared" si="15"/>
        <v>75958.194981314708</v>
      </c>
      <c r="O38" s="162">
        <f t="shared" si="15"/>
        <v>83257.494715414476</v>
      </c>
      <c r="P38" s="162">
        <f t="shared" si="15"/>
        <v>81913.850882300641</v>
      </c>
      <c r="Q38" s="162">
        <f t="shared" si="15"/>
        <v>81481.000134365167</v>
      </c>
      <c r="R38" s="162">
        <f t="shared" si="15"/>
        <v>82965.404464328894</v>
      </c>
      <c r="S38" s="162">
        <f t="shared" si="15"/>
        <v>154545.72703772434</v>
      </c>
      <c r="T38" s="162">
        <f t="shared" si="15"/>
        <v>157247.74630587664</v>
      </c>
      <c r="U38" s="162">
        <f t="shared" si="15"/>
        <v>155778.54703933652</v>
      </c>
      <c r="V38" s="162">
        <f t="shared" si="15"/>
        <v>154357.5649480233</v>
      </c>
      <c r="W38" s="162">
        <f t="shared" si="15"/>
        <v>-90522.328054589219</v>
      </c>
      <c r="X38" s="162">
        <f t="shared" si="15"/>
        <v>177383.6562945412</v>
      </c>
      <c r="Y38" s="162">
        <f t="shared" si="15"/>
        <v>176673.27448103647</v>
      </c>
      <c r="Z38" s="162">
        <f t="shared" si="15"/>
        <v>177211.72611494991</v>
      </c>
      <c r="AA38" s="162">
        <f t="shared" si="15"/>
        <v>180315.4969219889</v>
      </c>
      <c r="AB38" s="162">
        <f t="shared" si="15"/>
        <v>183481.34314516839</v>
      </c>
      <c r="AC38" s="162">
        <f t="shared" si="15"/>
        <v>186710.50629281159</v>
      </c>
      <c r="AD38" s="162">
        <f t="shared" si="15"/>
        <v>184490.83513409761</v>
      </c>
      <c r="AE38" s="162">
        <f t="shared" si="15"/>
        <v>182328.03005135781</v>
      </c>
      <c r="AF38" s="162">
        <f t="shared" si="15"/>
        <v>185754.84381694207</v>
      </c>
      <c r="AG38" s="162">
        <f t="shared" si="15"/>
        <v>320477.49115247373</v>
      </c>
    </row>
    <row r="39" spans="1:34" ht="16" thickTop="1" x14ac:dyDescent="0.35">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4" x14ac:dyDescent="0.35">
      <c r="A40" s="132" t="s">
        <v>162</v>
      </c>
      <c r="B40" s="143"/>
      <c r="C40" s="164">
        <f>C6*C13</f>
        <v>727609.99</v>
      </c>
      <c r="D40" s="164">
        <f t="shared" ref="D40:Q40" si="16">C40-D33</f>
        <v>693890.87857606052</v>
      </c>
      <c r="E40" s="164">
        <f t="shared" si="16"/>
        <v>658485.81158092408</v>
      </c>
      <c r="F40" s="164">
        <f t="shared" si="16"/>
        <v>621310.49123603082</v>
      </c>
      <c r="G40" s="164">
        <f t="shared" si="16"/>
        <v>582276.4048738929</v>
      </c>
      <c r="H40" s="164">
        <f t="shared" si="16"/>
        <v>541290.6141936481</v>
      </c>
      <c r="I40" s="164">
        <f t="shared" si="16"/>
        <v>498255.5339793911</v>
      </c>
      <c r="J40" s="164">
        <f t="shared" si="16"/>
        <v>453068.69975442125</v>
      </c>
      <c r="K40" s="164">
        <f t="shared" si="16"/>
        <v>405622.5238182029</v>
      </c>
      <c r="L40" s="164">
        <f t="shared" si="16"/>
        <v>355804.03908517363</v>
      </c>
      <c r="M40" s="164">
        <f t="shared" si="16"/>
        <v>303494.63011549291</v>
      </c>
      <c r="N40" s="164">
        <f t="shared" si="16"/>
        <v>248569.75069732813</v>
      </c>
      <c r="O40" s="164">
        <f t="shared" si="16"/>
        <v>190898.62730825512</v>
      </c>
      <c r="P40" s="164">
        <f t="shared" si="16"/>
        <v>130343.94774972845</v>
      </c>
      <c r="Q40" s="164">
        <f t="shared" si="16"/>
        <v>66761.534213275459</v>
      </c>
      <c r="R40" s="164">
        <f>Q40-R33</f>
        <v>-1.8917489796876907E-10</v>
      </c>
      <c r="S40" s="164">
        <f>R40-S33</f>
        <v>-1.8917489796876907E-10</v>
      </c>
      <c r="T40" s="164">
        <f>S40-T33</f>
        <v>-1.8917489796876907E-10</v>
      </c>
      <c r="U40" s="164">
        <f>T40-U33</f>
        <v>-1.8917489796876907E-10</v>
      </c>
      <c r="V40" s="164">
        <f>U40-V33</f>
        <v>-1.8917489796876907E-10</v>
      </c>
      <c r="W40" s="164">
        <f t="shared" ref="W40:AG40" si="17">V40-W33</f>
        <v>-1.8917489796876907E-10</v>
      </c>
      <c r="X40" s="164">
        <f t="shared" si="17"/>
        <v>-1.8917489796876907E-10</v>
      </c>
      <c r="Y40" s="164">
        <f t="shared" si="17"/>
        <v>-1.8917489796876907E-10</v>
      </c>
      <c r="Z40" s="164">
        <f t="shared" si="17"/>
        <v>-1.8917489796876907E-10</v>
      </c>
      <c r="AA40" s="164">
        <f t="shared" si="17"/>
        <v>-1.8917489796876907E-10</v>
      </c>
      <c r="AB40" s="164">
        <f t="shared" si="17"/>
        <v>-1.8917489796876907E-10</v>
      </c>
      <c r="AC40" s="164">
        <f t="shared" si="17"/>
        <v>-1.8917489796876907E-10</v>
      </c>
      <c r="AD40" s="164">
        <f t="shared" si="17"/>
        <v>-1.8917489796876907E-10</v>
      </c>
      <c r="AE40" s="164">
        <f t="shared" si="17"/>
        <v>-1.8917489796876907E-10</v>
      </c>
      <c r="AF40" s="164">
        <f t="shared" si="17"/>
        <v>-1.8917489796876907E-10</v>
      </c>
      <c r="AG40" s="164">
        <f t="shared" si="17"/>
        <v>-1.8917489796876907E-10</v>
      </c>
    </row>
    <row r="41" spans="1:34" x14ac:dyDescent="0.35">
      <c r="A41" s="132" t="s">
        <v>163</v>
      </c>
      <c r="C41" s="164">
        <f>+C38</f>
        <v>-727609.99</v>
      </c>
      <c r="D41" s="164">
        <f t="shared" ref="D41:Q41" si="18">+C41+D38</f>
        <v>-735718.62464009866</v>
      </c>
      <c r="E41" s="164">
        <f t="shared" si="18"/>
        <v>-692235.04398645519</v>
      </c>
      <c r="F41" s="164">
        <f t="shared" si="18"/>
        <v>-623768.62550393736</v>
      </c>
      <c r="G41" s="164">
        <f t="shared" si="18"/>
        <v>-555791.16675518069</v>
      </c>
      <c r="H41" s="164">
        <f t="shared" si="18"/>
        <v>-486366.28076453309</v>
      </c>
      <c r="I41" s="164">
        <f t="shared" si="18"/>
        <v>-408488.3118824967</v>
      </c>
      <c r="J41" s="164">
        <f t="shared" si="18"/>
        <v>-337893.35999135149</v>
      </c>
      <c r="K41" s="164">
        <f t="shared" si="18"/>
        <v>-269795.66081962723</v>
      </c>
      <c r="L41" s="164">
        <f t="shared" si="18"/>
        <v>-204196.01696954842</v>
      </c>
      <c r="M41" s="164">
        <f t="shared" si="18"/>
        <v>-334373.57888925995</v>
      </c>
      <c r="N41" s="164">
        <f t="shared" si="18"/>
        <v>-258415.38390794524</v>
      </c>
      <c r="O41" s="164">
        <f t="shared" si="18"/>
        <v>-175157.88919253077</v>
      </c>
      <c r="P41" s="164">
        <f t="shared" si="18"/>
        <v>-93244.038310230128</v>
      </c>
      <c r="Q41" s="164">
        <f t="shared" si="18"/>
        <v>-11763.03817586496</v>
      </c>
      <c r="R41" s="164">
        <f>+Q41+R38</f>
        <v>71202.366288463934</v>
      </c>
      <c r="S41" s="164">
        <f>+R41+S38</f>
        <v>225748.09332618827</v>
      </c>
      <c r="T41" s="164">
        <f>+S41+T38</f>
        <v>382995.83963206492</v>
      </c>
      <c r="U41" s="164">
        <f>+T41+U38</f>
        <v>538774.38667140144</v>
      </c>
      <c r="V41" s="164">
        <f>+U41+V38</f>
        <v>693131.95161942474</v>
      </c>
      <c r="W41" s="164">
        <f t="shared" ref="W41:AG41" si="19">+V41+W38</f>
        <v>602609.62356483552</v>
      </c>
      <c r="X41" s="164">
        <f t="shared" si="19"/>
        <v>779993.27985937672</v>
      </c>
      <c r="Y41" s="164">
        <f t="shared" si="19"/>
        <v>956666.55434041319</v>
      </c>
      <c r="Z41" s="164">
        <f t="shared" si="19"/>
        <v>1133878.280455363</v>
      </c>
      <c r="AA41" s="164">
        <f t="shared" si="19"/>
        <v>1314193.7773773519</v>
      </c>
      <c r="AB41" s="164">
        <f t="shared" si="19"/>
        <v>1497675.1205225203</v>
      </c>
      <c r="AC41" s="164">
        <f t="shared" si="19"/>
        <v>1684385.6268153319</v>
      </c>
      <c r="AD41" s="164">
        <f t="shared" si="19"/>
        <v>1868876.4619494295</v>
      </c>
      <c r="AE41" s="164">
        <f t="shared" si="19"/>
        <v>2051204.4920007873</v>
      </c>
      <c r="AF41" s="164">
        <f t="shared" si="19"/>
        <v>2236959.3358177291</v>
      </c>
      <c r="AG41" s="164">
        <f t="shared" si="19"/>
        <v>2557436.8269702028</v>
      </c>
    </row>
    <row r="42" spans="1:34" x14ac:dyDescent="0.35">
      <c r="A42" s="134"/>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row>
    <row r="43" spans="1:34" x14ac:dyDescent="0.35">
      <c r="A43" s="134"/>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row>
    <row r="44" spans="1:34" x14ac:dyDescent="0.35">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1:34" x14ac:dyDescent="0.35">
      <c r="A45" s="134"/>
    </row>
    <row r="46" spans="1:34" x14ac:dyDescent="0.35">
      <c r="A46" s="134"/>
    </row>
    <row r="47" spans="1:34" x14ac:dyDescent="0.35">
      <c r="A47" s="134"/>
      <c r="D47" s="170"/>
    </row>
    <row r="48" spans="1:34" x14ac:dyDescent="0.35">
      <c r="A48" s="134"/>
      <c r="D48" s="170"/>
    </row>
    <row r="49" spans="1:4" x14ac:dyDescent="0.35">
      <c r="A49" s="134"/>
    </row>
    <row r="50" spans="1:4" x14ac:dyDescent="0.35">
      <c r="A50" s="134"/>
      <c r="D50" s="170"/>
    </row>
    <row r="51" spans="1:4" x14ac:dyDescent="0.35">
      <c r="A51" s="134"/>
      <c r="D51" s="170"/>
    </row>
    <row r="52" spans="1:4" x14ac:dyDescent="0.35">
      <c r="A52" s="134"/>
      <c r="D52" s="170"/>
    </row>
    <row r="53" spans="1:4" x14ac:dyDescent="0.35">
      <c r="A53" s="134"/>
      <c r="D53" s="143"/>
    </row>
  </sheetData>
  <pageMargins left="0.34" right="0.4" top="1" bottom="1" header="0.5" footer="0.5"/>
  <pageSetup scale="7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C7738-456C-444E-A6C0-D22A72BE75CC}">
  <sheetPr>
    <pageSetUpPr fitToPage="1"/>
  </sheetPr>
  <dimension ref="A1:Y53"/>
  <sheetViews>
    <sheetView workbookViewId="0">
      <pane xSplit="2" topLeftCell="C1" activePane="topRight" state="frozen"/>
      <selection activeCell="A50" sqref="A50"/>
      <selection pane="topRight" activeCell="G23" sqref="G23"/>
    </sheetView>
  </sheetViews>
  <sheetFormatPr defaultColWidth="10.26953125" defaultRowHeight="15.5" x14ac:dyDescent="0.35"/>
  <cols>
    <col min="1" max="1" width="4.7265625" style="132" customWidth="1"/>
    <col min="2" max="2" width="15.26953125" style="132" customWidth="1"/>
    <col min="3" max="3" width="12.6328125" style="132" customWidth="1"/>
    <col min="4" max="4" width="11.81640625" style="132" bestFit="1" customWidth="1"/>
    <col min="5" max="5" width="11.36328125" style="132" customWidth="1"/>
    <col min="6" max="7" width="12.6328125" style="132" customWidth="1"/>
    <col min="8" max="8" width="11.26953125" style="132" bestFit="1" customWidth="1"/>
    <col min="9" max="9" width="12.1796875" style="132" customWidth="1"/>
    <col min="10" max="11" width="13.36328125" style="132" bestFit="1" customWidth="1"/>
    <col min="12" max="12" width="13.90625" style="132" bestFit="1" customWidth="1"/>
    <col min="13" max="22" width="12.6328125" style="132" customWidth="1"/>
    <col min="23" max="23" width="11.26953125" style="132" customWidth="1"/>
    <col min="24" max="24" width="11.81640625" style="132" bestFit="1" customWidth="1"/>
    <col min="25" max="246" width="10.26953125" style="132"/>
    <col min="247" max="247" width="4.7265625" style="132" customWidth="1"/>
    <col min="248" max="248" width="15.26953125" style="132" customWidth="1"/>
    <col min="249" max="249" width="12.6328125" style="132" customWidth="1"/>
    <col min="250" max="250" width="11.81640625" style="132" bestFit="1" customWidth="1"/>
    <col min="251" max="251" width="11.36328125" style="132" customWidth="1"/>
    <col min="252" max="252" width="11.54296875" style="132" customWidth="1"/>
    <col min="253" max="253" width="12.6328125" style="132" customWidth="1"/>
    <col min="254" max="254" width="11.26953125" style="132" bestFit="1" customWidth="1"/>
    <col min="255" max="255" width="12.1796875" style="132" customWidth="1"/>
    <col min="256" max="257" width="13.36328125" style="132" bestFit="1" customWidth="1"/>
    <col min="258" max="258" width="13.90625" style="132" bestFit="1" customWidth="1"/>
    <col min="259" max="278" width="12.6328125" style="132" customWidth="1"/>
    <col min="279" max="279" width="11.26953125" style="132" customWidth="1"/>
    <col min="280" max="280" width="11.81640625" style="132" bestFit="1" customWidth="1"/>
    <col min="281" max="502" width="10.26953125" style="132"/>
    <col min="503" max="503" width="4.7265625" style="132" customWidth="1"/>
    <col min="504" max="504" width="15.26953125" style="132" customWidth="1"/>
    <col min="505" max="505" width="12.6328125" style="132" customWidth="1"/>
    <col min="506" max="506" width="11.81640625" style="132" bestFit="1" customWidth="1"/>
    <col min="507" max="507" width="11.36328125" style="132" customWidth="1"/>
    <col min="508" max="508" width="11.54296875" style="132" customWidth="1"/>
    <col min="509" max="509" width="12.6328125" style="132" customWidth="1"/>
    <col min="510" max="510" width="11.26953125" style="132" bestFit="1" customWidth="1"/>
    <col min="511" max="511" width="12.1796875" style="132" customWidth="1"/>
    <col min="512" max="513" width="13.36328125" style="132" bestFit="1" customWidth="1"/>
    <col min="514" max="514" width="13.90625" style="132" bestFit="1" customWidth="1"/>
    <col min="515" max="534" width="12.6328125" style="132" customWidth="1"/>
    <col min="535" max="535" width="11.26953125" style="132" customWidth="1"/>
    <col min="536" max="536" width="11.81640625" style="132" bestFit="1" customWidth="1"/>
    <col min="537" max="758" width="10.26953125" style="132"/>
    <col min="759" max="759" width="4.7265625" style="132" customWidth="1"/>
    <col min="760" max="760" width="15.26953125" style="132" customWidth="1"/>
    <col min="761" max="761" width="12.6328125" style="132" customWidth="1"/>
    <col min="762" max="762" width="11.81640625" style="132" bestFit="1" customWidth="1"/>
    <col min="763" max="763" width="11.36328125" style="132" customWidth="1"/>
    <col min="764" max="764" width="11.54296875" style="132" customWidth="1"/>
    <col min="765" max="765" width="12.6328125" style="132" customWidth="1"/>
    <col min="766" max="766" width="11.26953125" style="132" bestFit="1" customWidth="1"/>
    <col min="767" max="767" width="12.1796875" style="132" customWidth="1"/>
    <col min="768" max="769" width="13.36328125" style="132" bestFit="1" customWidth="1"/>
    <col min="770" max="770" width="13.90625" style="132" bestFit="1" customWidth="1"/>
    <col min="771" max="790" width="12.6328125" style="132" customWidth="1"/>
    <col min="791" max="791" width="11.26953125" style="132" customWidth="1"/>
    <col min="792" max="792" width="11.81640625" style="132" bestFit="1" customWidth="1"/>
    <col min="793" max="1014" width="10.26953125" style="132"/>
    <col min="1015" max="1015" width="4.7265625" style="132" customWidth="1"/>
    <col min="1016" max="1016" width="15.26953125" style="132" customWidth="1"/>
    <col min="1017" max="1017" width="12.6328125" style="132" customWidth="1"/>
    <col min="1018" max="1018" width="11.81640625" style="132" bestFit="1" customWidth="1"/>
    <col min="1019" max="1019" width="11.36328125" style="132" customWidth="1"/>
    <col min="1020" max="1020" width="11.54296875" style="132" customWidth="1"/>
    <col min="1021" max="1021" width="12.6328125" style="132" customWidth="1"/>
    <col min="1022" max="1022" width="11.26953125" style="132" bestFit="1" customWidth="1"/>
    <col min="1023" max="1023" width="12.1796875" style="132" customWidth="1"/>
    <col min="1024" max="1025" width="13.36328125" style="132" bestFit="1" customWidth="1"/>
    <col min="1026" max="1026" width="13.90625" style="132" bestFit="1" customWidth="1"/>
    <col min="1027" max="1046" width="12.6328125" style="132" customWidth="1"/>
    <col min="1047" max="1047" width="11.26953125" style="132" customWidth="1"/>
    <col min="1048" max="1048" width="11.81640625" style="132" bestFit="1" customWidth="1"/>
    <col min="1049" max="1270" width="10.26953125" style="132"/>
    <col min="1271" max="1271" width="4.7265625" style="132" customWidth="1"/>
    <col min="1272" max="1272" width="15.26953125" style="132" customWidth="1"/>
    <col min="1273" max="1273" width="12.6328125" style="132" customWidth="1"/>
    <col min="1274" max="1274" width="11.81640625" style="132" bestFit="1" customWidth="1"/>
    <col min="1275" max="1275" width="11.36328125" style="132" customWidth="1"/>
    <col min="1276" max="1276" width="11.54296875" style="132" customWidth="1"/>
    <col min="1277" max="1277" width="12.6328125" style="132" customWidth="1"/>
    <col min="1278" max="1278" width="11.26953125" style="132" bestFit="1" customWidth="1"/>
    <col min="1279" max="1279" width="12.1796875" style="132" customWidth="1"/>
    <col min="1280" max="1281" width="13.36328125" style="132" bestFit="1" customWidth="1"/>
    <col min="1282" max="1282" width="13.90625" style="132" bestFit="1" customWidth="1"/>
    <col min="1283" max="1302" width="12.6328125" style="132" customWidth="1"/>
    <col min="1303" max="1303" width="11.26953125" style="132" customWidth="1"/>
    <col min="1304" max="1304" width="11.81640625" style="132" bestFit="1" customWidth="1"/>
    <col min="1305" max="1526" width="10.26953125" style="132"/>
    <col min="1527" max="1527" width="4.7265625" style="132" customWidth="1"/>
    <col min="1528" max="1528" width="15.26953125" style="132" customWidth="1"/>
    <col min="1529" max="1529" width="12.6328125" style="132" customWidth="1"/>
    <col min="1530" max="1530" width="11.81640625" style="132" bestFit="1" customWidth="1"/>
    <col min="1531" max="1531" width="11.36328125" style="132" customWidth="1"/>
    <col min="1532" max="1532" width="11.54296875" style="132" customWidth="1"/>
    <col min="1533" max="1533" width="12.6328125" style="132" customWidth="1"/>
    <col min="1534" max="1534" width="11.26953125" style="132" bestFit="1" customWidth="1"/>
    <col min="1535" max="1535" width="12.1796875" style="132" customWidth="1"/>
    <col min="1536" max="1537" width="13.36328125" style="132" bestFit="1" customWidth="1"/>
    <col min="1538" max="1538" width="13.90625" style="132" bestFit="1" customWidth="1"/>
    <col min="1539" max="1558" width="12.6328125" style="132" customWidth="1"/>
    <col min="1559" max="1559" width="11.26953125" style="132" customWidth="1"/>
    <col min="1560" max="1560" width="11.81640625" style="132" bestFit="1" customWidth="1"/>
    <col min="1561" max="1782" width="10.26953125" style="132"/>
    <col min="1783" max="1783" width="4.7265625" style="132" customWidth="1"/>
    <col min="1784" max="1784" width="15.26953125" style="132" customWidth="1"/>
    <col min="1785" max="1785" width="12.6328125" style="132" customWidth="1"/>
    <col min="1786" max="1786" width="11.81640625" style="132" bestFit="1" customWidth="1"/>
    <col min="1787" max="1787" width="11.36328125" style="132" customWidth="1"/>
    <col min="1788" max="1788" width="11.54296875" style="132" customWidth="1"/>
    <col min="1789" max="1789" width="12.6328125" style="132" customWidth="1"/>
    <col min="1790" max="1790" width="11.26953125" style="132" bestFit="1" customWidth="1"/>
    <col min="1791" max="1791" width="12.1796875" style="132" customWidth="1"/>
    <col min="1792" max="1793" width="13.36328125" style="132" bestFit="1" customWidth="1"/>
    <col min="1794" max="1794" width="13.90625" style="132" bestFit="1" customWidth="1"/>
    <col min="1795" max="1814" width="12.6328125" style="132" customWidth="1"/>
    <col min="1815" max="1815" width="11.26953125" style="132" customWidth="1"/>
    <col min="1816" max="1816" width="11.81640625" style="132" bestFit="1" customWidth="1"/>
    <col min="1817" max="2038" width="10.26953125" style="132"/>
    <col min="2039" max="2039" width="4.7265625" style="132" customWidth="1"/>
    <col min="2040" max="2040" width="15.26953125" style="132" customWidth="1"/>
    <col min="2041" max="2041" width="12.6328125" style="132" customWidth="1"/>
    <col min="2042" max="2042" width="11.81640625" style="132" bestFit="1" customWidth="1"/>
    <col min="2043" max="2043" width="11.36328125" style="132" customWidth="1"/>
    <col min="2044" max="2044" width="11.54296875" style="132" customWidth="1"/>
    <col min="2045" max="2045" width="12.6328125" style="132" customWidth="1"/>
    <col min="2046" max="2046" width="11.26953125" style="132" bestFit="1" customWidth="1"/>
    <col min="2047" max="2047" width="12.1796875" style="132" customWidth="1"/>
    <col min="2048" max="2049" width="13.36328125" style="132" bestFit="1" customWidth="1"/>
    <col min="2050" max="2050" width="13.90625" style="132" bestFit="1" customWidth="1"/>
    <col min="2051" max="2070" width="12.6328125" style="132" customWidth="1"/>
    <col min="2071" max="2071" width="11.26953125" style="132" customWidth="1"/>
    <col min="2072" max="2072" width="11.81640625" style="132" bestFit="1" customWidth="1"/>
    <col min="2073" max="2294" width="10.26953125" style="132"/>
    <col min="2295" max="2295" width="4.7265625" style="132" customWidth="1"/>
    <col min="2296" max="2296" width="15.26953125" style="132" customWidth="1"/>
    <col min="2297" max="2297" width="12.6328125" style="132" customWidth="1"/>
    <col min="2298" max="2298" width="11.81640625" style="132" bestFit="1" customWidth="1"/>
    <col min="2299" max="2299" width="11.36328125" style="132" customWidth="1"/>
    <col min="2300" max="2300" width="11.54296875" style="132" customWidth="1"/>
    <col min="2301" max="2301" width="12.6328125" style="132" customWidth="1"/>
    <col min="2302" max="2302" width="11.26953125" style="132" bestFit="1" customWidth="1"/>
    <col min="2303" max="2303" width="12.1796875" style="132" customWidth="1"/>
    <col min="2304" max="2305" width="13.36328125" style="132" bestFit="1" customWidth="1"/>
    <col min="2306" max="2306" width="13.90625" style="132" bestFit="1" customWidth="1"/>
    <col min="2307" max="2326" width="12.6328125" style="132" customWidth="1"/>
    <col min="2327" max="2327" width="11.26953125" style="132" customWidth="1"/>
    <col min="2328" max="2328" width="11.81640625" style="132" bestFit="1" customWidth="1"/>
    <col min="2329" max="2550" width="10.26953125" style="132"/>
    <col min="2551" max="2551" width="4.7265625" style="132" customWidth="1"/>
    <col min="2552" max="2552" width="15.26953125" style="132" customWidth="1"/>
    <col min="2553" max="2553" width="12.6328125" style="132" customWidth="1"/>
    <col min="2554" max="2554" width="11.81640625" style="132" bestFit="1" customWidth="1"/>
    <col min="2555" max="2555" width="11.36328125" style="132" customWidth="1"/>
    <col min="2556" max="2556" width="11.54296875" style="132" customWidth="1"/>
    <col min="2557" max="2557" width="12.6328125" style="132" customWidth="1"/>
    <col min="2558" max="2558" width="11.26953125" style="132" bestFit="1" customWidth="1"/>
    <col min="2559" max="2559" width="12.1796875" style="132" customWidth="1"/>
    <col min="2560" max="2561" width="13.36328125" style="132" bestFit="1" customWidth="1"/>
    <col min="2562" max="2562" width="13.90625" style="132" bestFit="1" customWidth="1"/>
    <col min="2563" max="2582" width="12.6328125" style="132" customWidth="1"/>
    <col min="2583" max="2583" width="11.26953125" style="132" customWidth="1"/>
    <col min="2584" max="2584" width="11.81640625" style="132" bestFit="1" customWidth="1"/>
    <col min="2585" max="2806" width="10.26953125" style="132"/>
    <col min="2807" max="2807" width="4.7265625" style="132" customWidth="1"/>
    <col min="2808" max="2808" width="15.26953125" style="132" customWidth="1"/>
    <col min="2809" max="2809" width="12.6328125" style="132" customWidth="1"/>
    <col min="2810" max="2810" width="11.81640625" style="132" bestFit="1" customWidth="1"/>
    <col min="2811" max="2811" width="11.36328125" style="132" customWidth="1"/>
    <col min="2812" max="2812" width="11.54296875" style="132" customWidth="1"/>
    <col min="2813" max="2813" width="12.6328125" style="132" customWidth="1"/>
    <col min="2814" max="2814" width="11.26953125" style="132" bestFit="1" customWidth="1"/>
    <col min="2815" max="2815" width="12.1796875" style="132" customWidth="1"/>
    <col min="2816" max="2817" width="13.36328125" style="132" bestFit="1" customWidth="1"/>
    <col min="2818" max="2818" width="13.90625" style="132" bestFit="1" customWidth="1"/>
    <col min="2819" max="2838" width="12.6328125" style="132" customWidth="1"/>
    <col min="2839" max="2839" width="11.26953125" style="132" customWidth="1"/>
    <col min="2840" max="2840" width="11.81640625" style="132" bestFit="1" customWidth="1"/>
    <col min="2841" max="3062" width="10.26953125" style="132"/>
    <col min="3063" max="3063" width="4.7265625" style="132" customWidth="1"/>
    <col min="3064" max="3064" width="15.26953125" style="132" customWidth="1"/>
    <col min="3065" max="3065" width="12.6328125" style="132" customWidth="1"/>
    <col min="3066" max="3066" width="11.81640625" style="132" bestFit="1" customWidth="1"/>
    <col min="3067" max="3067" width="11.36328125" style="132" customWidth="1"/>
    <col min="3068" max="3068" width="11.54296875" style="132" customWidth="1"/>
    <col min="3069" max="3069" width="12.6328125" style="132" customWidth="1"/>
    <col min="3070" max="3070" width="11.26953125" style="132" bestFit="1" customWidth="1"/>
    <col min="3071" max="3071" width="12.1796875" style="132" customWidth="1"/>
    <col min="3072" max="3073" width="13.36328125" style="132" bestFit="1" customWidth="1"/>
    <col min="3074" max="3074" width="13.90625" style="132" bestFit="1" customWidth="1"/>
    <col min="3075" max="3094" width="12.6328125" style="132" customWidth="1"/>
    <col min="3095" max="3095" width="11.26953125" style="132" customWidth="1"/>
    <col min="3096" max="3096" width="11.81640625" style="132" bestFit="1" customWidth="1"/>
    <col min="3097" max="3318" width="10.26953125" style="132"/>
    <col min="3319" max="3319" width="4.7265625" style="132" customWidth="1"/>
    <col min="3320" max="3320" width="15.26953125" style="132" customWidth="1"/>
    <col min="3321" max="3321" width="12.6328125" style="132" customWidth="1"/>
    <col min="3322" max="3322" width="11.81640625" style="132" bestFit="1" customWidth="1"/>
    <col min="3323" max="3323" width="11.36328125" style="132" customWidth="1"/>
    <col min="3324" max="3324" width="11.54296875" style="132" customWidth="1"/>
    <col min="3325" max="3325" width="12.6328125" style="132" customWidth="1"/>
    <col min="3326" max="3326" width="11.26953125" style="132" bestFit="1" customWidth="1"/>
    <col min="3327" max="3327" width="12.1796875" style="132" customWidth="1"/>
    <col min="3328" max="3329" width="13.36328125" style="132" bestFit="1" customWidth="1"/>
    <col min="3330" max="3330" width="13.90625" style="132" bestFit="1" customWidth="1"/>
    <col min="3331" max="3350" width="12.6328125" style="132" customWidth="1"/>
    <col min="3351" max="3351" width="11.26953125" style="132" customWidth="1"/>
    <col min="3352" max="3352" width="11.81640625" style="132" bestFit="1" customWidth="1"/>
    <col min="3353" max="3574" width="10.26953125" style="132"/>
    <col min="3575" max="3575" width="4.7265625" style="132" customWidth="1"/>
    <col min="3576" max="3576" width="15.26953125" style="132" customWidth="1"/>
    <col min="3577" max="3577" width="12.6328125" style="132" customWidth="1"/>
    <col min="3578" max="3578" width="11.81640625" style="132" bestFit="1" customWidth="1"/>
    <col min="3579" max="3579" width="11.36328125" style="132" customWidth="1"/>
    <col min="3580" max="3580" width="11.54296875" style="132" customWidth="1"/>
    <col min="3581" max="3581" width="12.6328125" style="132" customWidth="1"/>
    <col min="3582" max="3582" width="11.26953125" style="132" bestFit="1" customWidth="1"/>
    <col min="3583" max="3583" width="12.1796875" style="132" customWidth="1"/>
    <col min="3584" max="3585" width="13.36328125" style="132" bestFit="1" customWidth="1"/>
    <col min="3586" max="3586" width="13.90625" style="132" bestFit="1" customWidth="1"/>
    <col min="3587" max="3606" width="12.6328125" style="132" customWidth="1"/>
    <col min="3607" max="3607" width="11.26953125" style="132" customWidth="1"/>
    <col min="3608" max="3608" width="11.81640625" style="132" bestFit="1" customWidth="1"/>
    <col min="3609" max="3830" width="10.26953125" style="132"/>
    <col min="3831" max="3831" width="4.7265625" style="132" customWidth="1"/>
    <col min="3832" max="3832" width="15.26953125" style="132" customWidth="1"/>
    <col min="3833" max="3833" width="12.6328125" style="132" customWidth="1"/>
    <col min="3834" max="3834" width="11.81640625" style="132" bestFit="1" customWidth="1"/>
    <col min="3835" max="3835" width="11.36328125" style="132" customWidth="1"/>
    <col min="3836" max="3836" width="11.54296875" style="132" customWidth="1"/>
    <col min="3837" max="3837" width="12.6328125" style="132" customWidth="1"/>
    <col min="3838" max="3838" width="11.26953125" style="132" bestFit="1" customWidth="1"/>
    <col min="3839" max="3839" width="12.1796875" style="132" customWidth="1"/>
    <col min="3840" max="3841" width="13.36328125" style="132" bestFit="1" customWidth="1"/>
    <col min="3842" max="3842" width="13.90625" style="132" bestFit="1" customWidth="1"/>
    <col min="3843" max="3862" width="12.6328125" style="132" customWidth="1"/>
    <col min="3863" max="3863" width="11.26953125" style="132" customWidth="1"/>
    <col min="3864" max="3864" width="11.81640625" style="132" bestFit="1" customWidth="1"/>
    <col min="3865" max="4086" width="10.26953125" style="132"/>
    <col min="4087" max="4087" width="4.7265625" style="132" customWidth="1"/>
    <col min="4088" max="4088" width="15.26953125" style="132" customWidth="1"/>
    <col min="4089" max="4089" width="12.6328125" style="132" customWidth="1"/>
    <col min="4090" max="4090" width="11.81640625" style="132" bestFit="1" customWidth="1"/>
    <col min="4091" max="4091" width="11.36328125" style="132" customWidth="1"/>
    <col min="4092" max="4092" width="11.54296875" style="132" customWidth="1"/>
    <col min="4093" max="4093" width="12.6328125" style="132" customWidth="1"/>
    <col min="4094" max="4094" width="11.26953125" style="132" bestFit="1" customWidth="1"/>
    <col min="4095" max="4095" width="12.1796875" style="132" customWidth="1"/>
    <col min="4096" max="4097" width="13.36328125" style="132" bestFit="1" customWidth="1"/>
    <col min="4098" max="4098" width="13.90625" style="132" bestFit="1" customWidth="1"/>
    <col min="4099" max="4118" width="12.6328125" style="132" customWidth="1"/>
    <col min="4119" max="4119" width="11.26953125" style="132" customWidth="1"/>
    <col min="4120" max="4120" width="11.81640625" style="132" bestFit="1" customWidth="1"/>
    <col min="4121" max="4342" width="10.26953125" style="132"/>
    <col min="4343" max="4343" width="4.7265625" style="132" customWidth="1"/>
    <col min="4344" max="4344" width="15.26953125" style="132" customWidth="1"/>
    <col min="4345" max="4345" width="12.6328125" style="132" customWidth="1"/>
    <col min="4346" max="4346" width="11.81640625" style="132" bestFit="1" customWidth="1"/>
    <col min="4347" max="4347" width="11.36328125" style="132" customWidth="1"/>
    <col min="4348" max="4348" width="11.54296875" style="132" customWidth="1"/>
    <col min="4349" max="4349" width="12.6328125" style="132" customWidth="1"/>
    <col min="4350" max="4350" width="11.26953125" style="132" bestFit="1" customWidth="1"/>
    <col min="4351" max="4351" width="12.1796875" style="132" customWidth="1"/>
    <col min="4352" max="4353" width="13.36328125" style="132" bestFit="1" customWidth="1"/>
    <col min="4354" max="4354" width="13.90625" style="132" bestFit="1" customWidth="1"/>
    <col min="4355" max="4374" width="12.6328125" style="132" customWidth="1"/>
    <col min="4375" max="4375" width="11.26953125" style="132" customWidth="1"/>
    <col min="4376" max="4376" width="11.81640625" style="132" bestFit="1" customWidth="1"/>
    <col min="4377" max="4598" width="10.26953125" style="132"/>
    <col min="4599" max="4599" width="4.7265625" style="132" customWidth="1"/>
    <col min="4600" max="4600" width="15.26953125" style="132" customWidth="1"/>
    <col min="4601" max="4601" width="12.6328125" style="132" customWidth="1"/>
    <col min="4602" max="4602" width="11.81640625" style="132" bestFit="1" customWidth="1"/>
    <col min="4603" max="4603" width="11.36328125" style="132" customWidth="1"/>
    <col min="4604" max="4604" width="11.54296875" style="132" customWidth="1"/>
    <col min="4605" max="4605" width="12.6328125" style="132" customWidth="1"/>
    <col min="4606" max="4606" width="11.26953125" style="132" bestFit="1" customWidth="1"/>
    <col min="4607" max="4607" width="12.1796875" style="132" customWidth="1"/>
    <col min="4608" max="4609" width="13.36328125" style="132" bestFit="1" customWidth="1"/>
    <col min="4610" max="4610" width="13.90625" style="132" bestFit="1" customWidth="1"/>
    <col min="4611" max="4630" width="12.6328125" style="132" customWidth="1"/>
    <col min="4631" max="4631" width="11.26953125" style="132" customWidth="1"/>
    <col min="4632" max="4632" width="11.81640625" style="132" bestFit="1" customWidth="1"/>
    <col min="4633" max="4854" width="10.26953125" style="132"/>
    <col min="4855" max="4855" width="4.7265625" style="132" customWidth="1"/>
    <col min="4856" max="4856" width="15.26953125" style="132" customWidth="1"/>
    <col min="4857" max="4857" width="12.6328125" style="132" customWidth="1"/>
    <col min="4858" max="4858" width="11.81640625" style="132" bestFit="1" customWidth="1"/>
    <col min="4859" max="4859" width="11.36328125" style="132" customWidth="1"/>
    <col min="4860" max="4860" width="11.54296875" style="132" customWidth="1"/>
    <col min="4861" max="4861" width="12.6328125" style="132" customWidth="1"/>
    <col min="4862" max="4862" width="11.26953125" style="132" bestFit="1" customWidth="1"/>
    <col min="4863" max="4863" width="12.1796875" style="132" customWidth="1"/>
    <col min="4864" max="4865" width="13.36328125" style="132" bestFit="1" customWidth="1"/>
    <col min="4866" max="4866" width="13.90625" style="132" bestFit="1" customWidth="1"/>
    <col min="4867" max="4886" width="12.6328125" style="132" customWidth="1"/>
    <col min="4887" max="4887" width="11.26953125" style="132" customWidth="1"/>
    <col min="4888" max="4888" width="11.81640625" style="132" bestFit="1" customWidth="1"/>
    <col min="4889" max="5110" width="10.26953125" style="132"/>
    <col min="5111" max="5111" width="4.7265625" style="132" customWidth="1"/>
    <col min="5112" max="5112" width="15.26953125" style="132" customWidth="1"/>
    <col min="5113" max="5113" width="12.6328125" style="132" customWidth="1"/>
    <col min="5114" max="5114" width="11.81640625" style="132" bestFit="1" customWidth="1"/>
    <col min="5115" max="5115" width="11.36328125" style="132" customWidth="1"/>
    <col min="5116" max="5116" width="11.54296875" style="132" customWidth="1"/>
    <col min="5117" max="5117" width="12.6328125" style="132" customWidth="1"/>
    <col min="5118" max="5118" width="11.26953125" style="132" bestFit="1" customWidth="1"/>
    <col min="5119" max="5119" width="12.1796875" style="132" customWidth="1"/>
    <col min="5120" max="5121" width="13.36328125" style="132" bestFit="1" customWidth="1"/>
    <col min="5122" max="5122" width="13.90625" style="132" bestFit="1" customWidth="1"/>
    <col min="5123" max="5142" width="12.6328125" style="132" customWidth="1"/>
    <col min="5143" max="5143" width="11.26953125" style="132" customWidth="1"/>
    <col min="5144" max="5144" width="11.81640625" style="132" bestFit="1" customWidth="1"/>
    <col min="5145" max="5366" width="10.26953125" style="132"/>
    <col min="5367" max="5367" width="4.7265625" style="132" customWidth="1"/>
    <col min="5368" max="5368" width="15.26953125" style="132" customWidth="1"/>
    <col min="5369" max="5369" width="12.6328125" style="132" customWidth="1"/>
    <col min="5370" max="5370" width="11.81640625" style="132" bestFit="1" customWidth="1"/>
    <col min="5371" max="5371" width="11.36328125" style="132" customWidth="1"/>
    <col min="5372" max="5372" width="11.54296875" style="132" customWidth="1"/>
    <col min="5373" max="5373" width="12.6328125" style="132" customWidth="1"/>
    <col min="5374" max="5374" width="11.26953125" style="132" bestFit="1" customWidth="1"/>
    <col min="5375" max="5375" width="12.1796875" style="132" customWidth="1"/>
    <col min="5376" max="5377" width="13.36328125" style="132" bestFit="1" customWidth="1"/>
    <col min="5378" max="5378" width="13.90625" style="132" bestFit="1" customWidth="1"/>
    <col min="5379" max="5398" width="12.6328125" style="132" customWidth="1"/>
    <col min="5399" max="5399" width="11.26953125" style="132" customWidth="1"/>
    <col min="5400" max="5400" width="11.81640625" style="132" bestFit="1" customWidth="1"/>
    <col min="5401" max="5622" width="10.26953125" style="132"/>
    <col min="5623" max="5623" width="4.7265625" style="132" customWidth="1"/>
    <col min="5624" max="5624" width="15.26953125" style="132" customWidth="1"/>
    <col min="5625" max="5625" width="12.6328125" style="132" customWidth="1"/>
    <col min="5626" max="5626" width="11.81640625" style="132" bestFit="1" customWidth="1"/>
    <col min="5627" max="5627" width="11.36328125" style="132" customWidth="1"/>
    <col min="5628" max="5628" width="11.54296875" style="132" customWidth="1"/>
    <col min="5629" max="5629" width="12.6328125" style="132" customWidth="1"/>
    <col min="5630" max="5630" width="11.26953125" style="132" bestFit="1" customWidth="1"/>
    <col min="5631" max="5631" width="12.1796875" style="132" customWidth="1"/>
    <col min="5632" max="5633" width="13.36328125" style="132" bestFit="1" customWidth="1"/>
    <col min="5634" max="5634" width="13.90625" style="132" bestFit="1" customWidth="1"/>
    <col min="5635" max="5654" width="12.6328125" style="132" customWidth="1"/>
    <col min="5655" max="5655" width="11.26953125" style="132" customWidth="1"/>
    <col min="5656" max="5656" width="11.81640625" style="132" bestFit="1" customWidth="1"/>
    <col min="5657" max="5878" width="10.26953125" style="132"/>
    <col min="5879" max="5879" width="4.7265625" style="132" customWidth="1"/>
    <col min="5880" max="5880" width="15.26953125" style="132" customWidth="1"/>
    <col min="5881" max="5881" width="12.6328125" style="132" customWidth="1"/>
    <col min="5882" max="5882" width="11.81640625" style="132" bestFit="1" customWidth="1"/>
    <col min="5883" max="5883" width="11.36328125" style="132" customWidth="1"/>
    <col min="5884" max="5884" width="11.54296875" style="132" customWidth="1"/>
    <col min="5885" max="5885" width="12.6328125" style="132" customWidth="1"/>
    <col min="5886" max="5886" width="11.26953125" style="132" bestFit="1" customWidth="1"/>
    <col min="5887" max="5887" width="12.1796875" style="132" customWidth="1"/>
    <col min="5888" max="5889" width="13.36328125" style="132" bestFit="1" customWidth="1"/>
    <col min="5890" max="5890" width="13.90625" style="132" bestFit="1" customWidth="1"/>
    <col min="5891" max="5910" width="12.6328125" style="132" customWidth="1"/>
    <col min="5911" max="5911" width="11.26953125" style="132" customWidth="1"/>
    <col min="5912" max="5912" width="11.81640625" style="132" bestFit="1" customWidth="1"/>
    <col min="5913" max="6134" width="10.26953125" style="132"/>
    <col min="6135" max="6135" width="4.7265625" style="132" customWidth="1"/>
    <col min="6136" max="6136" width="15.26953125" style="132" customWidth="1"/>
    <col min="6137" max="6137" width="12.6328125" style="132" customWidth="1"/>
    <col min="6138" max="6138" width="11.81640625" style="132" bestFit="1" customWidth="1"/>
    <col min="6139" max="6139" width="11.36328125" style="132" customWidth="1"/>
    <col min="6140" max="6140" width="11.54296875" style="132" customWidth="1"/>
    <col min="6141" max="6141" width="12.6328125" style="132" customWidth="1"/>
    <col min="6142" max="6142" width="11.26953125" style="132" bestFit="1" customWidth="1"/>
    <col min="6143" max="6143" width="12.1796875" style="132" customWidth="1"/>
    <col min="6144" max="6145" width="13.36328125" style="132" bestFit="1" customWidth="1"/>
    <col min="6146" max="6146" width="13.90625" style="132" bestFit="1" customWidth="1"/>
    <col min="6147" max="6166" width="12.6328125" style="132" customWidth="1"/>
    <col min="6167" max="6167" width="11.26953125" style="132" customWidth="1"/>
    <col min="6168" max="6168" width="11.81640625" style="132" bestFit="1" customWidth="1"/>
    <col min="6169" max="6390" width="10.26953125" style="132"/>
    <col min="6391" max="6391" width="4.7265625" style="132" customWidth="1"/>
    <col min="6392" max="6392" width="15.26953125" style="132" customWidth="1"/>
    <col min="6393" max="6393" width="12.6328125" style="132" customWidth="1"/>
    <col min="6394" max="6394" width="11.81640625" style="132" bestFit="1" customWidth="1"/>
    <col min="6395" max="6395" width="11.36328125" style="132" customWidth="1"/>
    <col min="6396" max="6396" width="11.54296875" style="132" customWidth="1"/>
    <col min="6397" max="6397" width="12.6328125" style="132" customWidth="1"/>
    <col min="6398" max="6398" width="11.26953125" style="132" bestFit="1" customWidth="1"/>
    <col min="6399" max="6399" width="12.1796875" style="132" customWidth="1"/>
    <col min="6400" max="6401" width="13.36328125" style="132" bestFit="1" customWidth="1"/>
    <col min="6402" max="6402" width="13.90625" style="132" bestFit="1" customWidth="1"/>
    <col min="6403" max="6422" width="12.6328125" style="132" customWidth="1"/>
    <col min="6423" max="6423" width="11.26953125" style="132" customWidth="1"/>
    <col min="6424" max="6424" width="11.81640625" style="132" bestFit="1" customWidth="1"/>
    <col min="6425" max="6646" width="10.26953125" style="132"/>
    <col min="6647" max="6647" width="4.7265625" style="132" customWidth="1"/>
    <col min="6648" max="6648" width="15.26953125" style="132" customWidth="1"/>
    <col min="6649" max="6649" width="12.6328125" style="132" customWidth="1"/>
    <col min="6650" max="6650" width="11.81640625" style="132" bestFit="1" customWidth="1"/>
    <col min="6651" max="6651" width="11.36328125" style="132" customWidth="1"/>
    <col min="6652" max="6652" width="11.54296875" style="132" customWidth="1"/>
    <col min="6653" max="6653" width="12.6328125" style="132" customWidth="1"/>
    <col min="6654" max="6654" width="11.26953125" style="132" bestFit="1" customWidth="1"/>
    <col min="6655" max="6655" width="12.1796875" style="132" customWidth="1"/>
    <col min="6656" max="6657" width="13.36328125" style="132" bestFit="1" customWidth="1"/>
    <col min="6658" max="6658" width="13.90625" style="132" bestFit="1" customWidth="1"/>
    <col min="6659" max="6678" width="12.6328125" style="132" customWidth="1"/>
    <col min="6679" max="6679" width="11.26953125" style="132" customWidth="1"/>
    <col min="6680" max="6680" width="11.81640625" style="132" bestFit="1" customWidth="1"/>
    <col min="6681" max="6902" width="10.26953125" style="132"/>
    <col min="6903" max="6903" width="4.7265625" style="132" customWidth="1"/>
    <col min="6904" max="6904" width="15.26953125" style="132" customWidth="1"/>
    <col min="6905" max="6905" width="12.6328125" style="132" customWidth="1"/>
    <col min="6906" max="6906" width="11.81640625" style="132" bestFit="1" customWidth="1"/>
    <col min="6907" max="6907" width="11.36328125" style="132" customWidth="1"/>
    <col min="6908" max="6908" width="11.54296875" style="132" customWidth="1"/>
    <col min="6909" max="6909" width="12.6328125" style="132" customWidth="1"/>
    <col min="6910" max="6910" width="11.26953125" style="132" bestFit="1" customWidth="1"/>
    <col min="6911" max="6911" width="12.1796875" style="132" customWidth="1"/>
    <col min="6912" max="6913" width="13.36328125" style="132" bestFit="1" customWidth="1"/>
    <col min="6914" max="6914" width="13.90625" style="132" bestFit="1" customWidth="1"/>
    <col min="6915" max="6934" width="12.6328125" style="132" customWidth="1"/>
    <col min="6935" max="6935" width="11.26953125" style="132" customWidth="1"/>
    <col min="6936" max="6936" width="11.81640625" style="132" bestFit="1" customWidth="1"/>
    <col min="6937" max="7158" width="10.26953125" style="132"/>
    <col min="7159" max="7159" width="4.7265625" style="132" customWidth="1"/>
    <col min="7160" max="7160" width="15.26953125" style="132" customWidth="1"/>
    <col min="7161" max="7161" width="12.6328125" style="132" customWidth="1"/>
    <col min="7162" max="7162" width="11.81640625" style="132" bestFit="1" customWidth="1"/>
    <col min="7163" max="7163" width="11.36328125" style="132" customWidth="1"/>
    <col min="7164" max="7164" width="11.54296875" style="132" customWidth="1"/>
    <col min="7165" max="7165" width="12.6328125" style="132" customWidth="1"/>
    <col min="7166" max="7166" width="11.26953125" style="132" bestFit="1" customWidth="1"/>
    <col min="7167" max="7167" width="12.1796875" style="132" customWidth="1"/>
    <col min="7168" max="7169" width="13.36328125" style="132" bestFit="1" customWidth="1"/>
    <col min="7170" max="7170" width="13.90625" style="132" bestFit="1" customWidth="1"/>
    <col min="7171" max="7190" width="12.6328125" style="132" customWidth="1"/>
    <col min="7191" max="7191" width="11.26953125" style="132" customWidth="1"/>
    <col min="7192" max="7192" width="11.81640625" style="132" bestFit="1" customWidth="1"/>
    <col min="7193" max="7414" width="10.26953125" style="132"/>
    <col min="7415" max="7415" width="4.7265625" style="132" customWidth="1"/>
    <col min="7416" max="7416" width="15.26953125" style="132" customWidth="1"/>
    <col min="7417" max="7417" width="12.6328125" style="132" customWidth="1"/>
    <col min="7418" max="7418" width="11.81640625" style="132" bestFit="1" customWidth="1"/>
    <col min="7419" max="7419" width="11.36328125" style="132" customWidth="1"/>
    <col min="7420" max="7420" width="11.54296875" style="132" customWidth="1"/>
    <col min="7421" max="7421" width="12.6328125" style="132" customWidth="1"/>
    <col min="7422" max="7422" width="11.26953125" style="132" bestFit="1" customWidth="1"/>
    <col min="7423" max="7423" width="12.1796875" style="132" customWidth="1"/>
    <col min="7424" max="7425" width="13.36328125" style="132" bestFit="1" customWidth="1"/>
    <col min="7426" max="7426" width="13.90625" style="132" bestFit="1" customWidth="1"/>
    <col min="7427" max="7446" width="12.6328125" style="132" customWidth="1"/>
    <col min="7447" max="7447" width="11.26953125" style="132" customWidth="1"/>
    <col min="7448" max="7448" width="11.81640625" style="132" bestFit="1" customWidth="1"/>
    <col min="7449" max="7670" width="10.26953125" style="132"/>
    <col min="7671" max="7671" width="4.7265625" style="132" customWidth="1"/>
    <col min="7672" max="7672" width="15.26953125" style="132" customWidth="1"/>
    <col min="7673" max="7673" width="12.6328125" style="132" customWidth="1"/>
    <col min="7674" max="7674" width="11.81640625" style="132" bestFit="1" customWidth="1"/>
    <col min="7675" max="7675" width="11.36328125" style="132" customWidth="1"/>
    <col min="7676" max="7676" width="11.54296875" style="132" customWidth="1"/>
    <col min="7677" max="7677" width="12.6328125" style="132" customWidth="1"/>
    <col min="7678" max="7678" width="11.26953125" style="132" bestFit="1" customWidth="1"/>
    <col min="7679" max="7679" width="12.1796875" style="132" customWidth="1"/>
    <col min="7680" max="7681" width="13.36328125" style="132" bestFit="1" customWidth="1"/>
    <col min="7682" max="7682" width="13.90625" style="132" bestFit="1" customWidth="1"/>
    <col min="7683" max="7702" width="12.6328125" style="132" customWidth="1"/>
    <col min="7703" max="7703" width="11.26953125" style="132" customWidth="1"/>
    <col min="7704" max="7704" width="11.81640625" style="132" bestFit="1" customWidth="1"/>
    <col min="7705" max="7926" width="10.26953125" style="132"/>
    <col min="7927" max="7927" width="4.7265625" style="132" customWidth="1"/>
    <col min="7928" max="7928" width="15.26953125" style="132" customWidth="1"/>
    <col min="7929" max="7929" width="12.6328125" style="132" customWidth="1"/>
    <col min="7930" max="7930" width="11.81640625" style="132" bestFit="1" customWidth="1"/>
    <col min="7931" max="7931" width="11.36328125" style="132" customWidth="1"/>
    <col min="7932" max="7932" width="11.54296875" style="132" customWidth="1"/>
    <col min="7933" max="7933" width="12.6328125" style="132" customWidth="1"/>
    <col min="7934" max="7934" width="11.26953125" style="132" bestFit="1" customWidth="1"/>
    <col min="7935" max="7935" width="12.1796875" style="132" customWidth="1"/>
    <col min="7936" max="7937" width="13.36328125" style="132" bestFit="1" customWidth="1"/>
    <col min="7938" max="7938" width="13.90625" style="132" bestFit="1" customWidth="1"/>
    <col min="7939" max="7958" width="12.6328125" style="132" customWidth="1"/>
    <col min="7959" max="7959" width="11.26953125" style="132" customWidth="1"/>
    <col min="7960" max="7960" width="11.81640625" style="132" bestFit="1" customWidth="1"/>
    <col min="7961" max="8182" width="10.26953125" style="132"/>
    <col min="8183" max="8183" width="4.7265625" style="132" customWidth="1"/>
    <col min="8184" max="8184" width="15.26953125" style="132" customWidth="1"/>
    <col min="8185" max="8185" width="12.6328125" style="132" customWidth="1"/>
    <col min="8186" max="8186" width="11.81640625" style="132" bestFit="1" customWidth="1"/>
    <col min="8187" max="8187" width="11.36328125" style="132" customWidth="1"/>
    <col min="8188" max="8188" width="11.54296875" style="132" customWidth="1"/>
    <col min="8189" max="8189" width="12.6328125" style="132" customWidth="1"/>
    <col min="8190" max="8190" width="11.26953125" style="132" bestFit="1" customWidth="1"/>
    <col min="8191" max="8191" width="12.1796875" style="132" customWidth="1"/>
    <col min="8192" max="8193" width="13.36328125" style="132" bestFit="1" customWidth="1"/>
    <col min="8194" max="8194" width="13.90625" style="132" bestFit="1" customWidth="1"/>
    <col min="8195" max="8214" width="12.6328125" style="132" customWidth="1"/>
    <col min="8215" max="8215" width="11.26953125" style="132" customWidth="1"/>
    <col min="8216" max="8216" width="11.81640625" style="132" bestFit="1" customWidth="1"/>
    <col min="8217" max="8438" width="10.26953125" style="132"/>
    <col min="8439" max="8439" width="4.7265625" style="132" customWidth="1"/>
    <col min="8440" max="8440" width="15.26953125" style="132" customWidth="1"/>
    <col min="8441" max="8441" width="12.6328125" style="132" customWidth="1"/>
    <col min="8442" max="8442" width="11.81640625" style="132" bestFit="1" customWidth="1"/>
    <col min="8443" max="8443" width="11.36328125" style="132" customWidth="1"/>
    <col min="8444" max="8444" width="11.54296875" style="132" customWidth="1"/>
    <col min="8445" max="8445" width="12.6328125" style="132" customWidth="1"/>
    <col min="8446" max="8446" width="11.26953125" style="132" bestFit="1" customWidth="1"/>
    <col min="8447" max="8447" width="12.1796875" style="132" customWidth="1"/>
    <col min="8448" max="8449" width="13.36328125" style="132" bestFit="1" customWidth="1"/>
    <col min="8450" max="8450" width="13.90625" style="132" bestFit="1" customWidth="1"/>
    <col min="8451" max="8470" width="12.6328125" style="132" customWidth="1"/>
    <col min="8471" max="8471" width="11.26953125" style="132" customWidth="1"/>
    <col min="8472" max="8472" width="11.81640625" style="132" bestFit="1" customWidth="1"/>
    <col min="8473" max="8694" width="10.26953125" style="132"/>
    <col min="8695" max="8695" width="4.7265625" style="132" customWidth="1"/>
    <col min="8696" max="8696" width="15.26953125" style="132" customWidth="1"/>
    <col min="8697" max="8697" width="12.6328125" style="132" customWidth="1"/>
    <col min="8698" max="8698" width="11.81640625" style="132" bestFit="1" customWidth="1"/>
    <col min="8699" max="8699" width="11.36328125" style="132" customWidth="1"/>
    <col min="8700" max="8700" width="11.54296875" style="132" customWidth="1"/>
    <col min="8701" max="8701" width="12.6328125" style="132" customWidth="1"/>
    <col min="8702" max="8702" width="11.26953125" style="132" bestFit="1" customWidth="1"/>
    <col min="8703" max="8703" width="12.1796875" style="132" customWidth="1"/>
    <col min="8704" max="8705" width="13.36328125" style="132" bestFit="1" customWidth="1"/>
    <col min="8706" max="8706" width="13.90625" style="132" bestFit="1" customWidth="1"/>
    <col min="8707" max="8726" width="12.6328125" style="132" customWidth="1"/>
    <col min="8727" max="8727" width="11.26953125" style="132" customWidth="1"/>
    <col min="8728" max="8728" width="11.81640625" style="132" bestFit="1" customWidth="1"/>
    <col min="8729" max="8950" width="10.26953125" style="132"/>
    <col min="8951" max="8951" width="4.7265625" style="132" customWidth="1"/>
    <col min="8952" max="8952" width="15.26953125" style="132" customWidth="1"/>
    <col min="8953" max="8953" width="12.6328125" style="132" customWidth="1"/>
    <col min="8954" max="8954" width="11.81640625" style="132" bestFit="1" customWidth="1"/>
    <col min="8955" max="8955" width="11.36328125" style="132" customWidth="1"/>
    <col min="8956" max="8956" width="11.54296875" style="132" customWidth="1"/>
    <col min="8957" max="8957" width="12.6328125" style="132" customWidth="1"/>
    <col min="8958" max="8958" width="11.26953125" style="132" bestFit="1" customWidth="1"/>
    <col min="8959" max="8959" width="12.1796875" style="132" customWidth="1"/>
    <col min="8960" max="8961" width="13.36328125" style="132" bestFit="1" customWidth="1"/>
    <col min="8962" max="8962" width="13.90625" style="132" bestFit="1" customWidth="1"/>
    <col min="8963" max="8982" width="12.6328125" style="132" customWidth="1"/>
    <col min="8983" max="8983" width="11.26953125" style="132" customWidth="1"/>
    <col min="8984" max="8984" width="11.81640625" style="132" bestFit="1" customWidth="1"/>
    <col min="8985" max="9206" width="10.26953125" style="132"/>
    <col min="9207" max="9207" width="4.7265625" style="132" customWidth="1"/>
    <col min="9208" max="9208" width="15.26953125" style="132" customWidth="1"/>
    <col min="9209" max="9209" width="12.6328125" style="132" customWidth="1"/>
    <col min="9210" max="9210" width="11.81640625" style="132" bestFit="1" customWidth="1"/>
    <col min="9211" max="9211" width="11.36328125" style="132" customWidth="1"/>
    <col min="9212" max="9212" width="11.54296875" style="132" customWidth="1"/>
    <col min="9213" max="9213" width="12.6328125" style="132" customWidth="1"/>
    <col min="9214" max="9214" width="11.26953125" style="132" bestFit="1" customWidth="1"/>
    <col min="9215" max="9215" width="12.1796875" style="132" customWidth="1"/>
    <col min="9216" max="9217" width="13.36328125" style="132" bestFit="1" customWidth="1"/>
    <col min="9218" max="9218" width="13.90625" style="132" bestFit="1" customWidth="1"/>
    <col min="9219" max="9238" width="12.6328125" style="132" customWidth="1"/>
    <col min="9239" max="9239" width="11.26953125" style="132" customWidth="1"/>
    <col min="9240" max="9240" width="11.81640625" style="132" bestFit="1" customWidth="1"/>
    <col min="9241" max="9462" width="10.26953125" style="132"/>
    <col min="9463" max="9463" width="4.7265625" style="132" customWidth="1"/>
    <col min="9464" max="9464" width="15.26953125" style="132" customWidth="1"/>
    <col min="9465" max="9465" width="12.6328125" style="132" customWidth="1"/>
    <col min="9466" max="9466" width="11.81640625" style="132" bestFit="1" customWidth="1"/>
    <col min="9467" max="9467" width="11.36328125" style="132" customWidth="1"/>
    <col min="9468" max="9468" width="11.54296875" style="132" customWidth="1"/>
    <col min="9469" max="9469" width="12.6328125" style="132" customWidth="1"/>
    <col min="9470" max="9470" width="11.26953125" style="132" bestFit="1" customWidth="1"/>
    <col min="9471" max="9471" width="12.1796875" style="132" customWidth="1"/>
    <col min="9472" max="9473" width="13.36328125" style="132" bestFit="1" customWidth="1"/>
    <col min="9474" max="9474" width="13.90625" style="132" bestFit="1" customWidth="1"/>
    <col min="9475" max="9494" width="12.6328125" style="132" customWidth="1"/>
    <col min="9495" max="9495" width="11.26953125" style="132" customWidth="1"/>
    <col min="9496" max="9496" width="11.81640625" style="132" bestFit="1" customWidth="1"/>
    <col min="9497" max="9718" width="10.26953125" style="132"/>
    <col min="9719" max="9719" width="4.7265625" style="132" customWidth="1"/>
    <col min="9720" max="9720" width="15.26953125" style="132" customWidth="1"/>
    <col min="9721" max="9721" width="12.6328125" style="132" customWidth="1"/>
    <col min="9722" max="9722" width="11.81640625" style="132" bestFit="1" customWidth="1"/>
    <col min="9723" max="9723" width="11.36328125" style="132" customWidth="1"/>
    <col min="9724" max="9724" width="11.54296875" style="132" customWidth="1"/>
    <col min="9725" max="9725" width="12.6328125" style="132" customWidth="1"/>
    <col min="9726" max="9726" width="11.26953125" style="132" bestFit="1" customWidth="1"/>
    <col min="9727" max="9727" width="12.1796875" style="132" customWidth="1"/>
    <col min="9728" max="9729" width="13.36328125" style="132" bestFit="1" customWidth="1"/>
    <col min="9730" max="9730" width="13.90625" style="132" bestFit="1" customWidth="1"/>
    <col min="9731" max="9750" width="12.6328125" style="132" customWidth="1"/>
    <col min="9751" max="9751" width="11.26953125" style="132" customWidth="1"/>
    <col min="9752" max="9752" width="11.81640625" style="132" bestFit="1" customWidth="1"/>
    <col min="9753" max="9974" width="10.26953125" style="132"/>
    <col min="9975" max="9975" width="4.7265625" style="132" customWidth="1"/>
    <col min="9976" max="9976" width="15.26953125" style="132" customWidth="1"/>
    <col min="9977" max="9977" width="12.6328125" style="132" customWidth="1"/>
    <col min="9978" max="9978" width="11.81640625" style="132" bestFit="1" customWidth="1"/>
    <col min="9979" max="9979" width="11.36328125" style="132" customWidth="1"/>
    <col min="9980" max="9980" width="11.54296875" style="132" customWidth="1"/>
    <col min="9981" max="9981" width="12.6328125" style="132" customWidth="1"/>
    <col min="9982" max="9982" width="11.26953125" style="132" bestFit="1" customWidth="1"/>
    <col min="9983" max="9983" width="12.1796875" style="132" customWidth="1"/>
    <col min="9984" max="9985" width="13.36328125" style="132" bestFit="1" customWidth="1"/>
    <col min="9986" max="9986" width="13.90625" style="132" bestFit="1" customWidth="1"/>
    <col min="9987" max="10006" width="12.6328125" style="132" customWidth="1"/>
    <col min="10007" max="10007" width="11.26953125" style="132" customWidth="1"/>
    <col min="10008" max="10008" width="11.81640625" style="132" bestFit="1" customWidth="1"/>
    <col min="10009" max="10230" width="10.26953125" style="132"/>
    <col min="10231" max="10231" width="4.7265625" style="132" customWidth="1"/>
    <col min="10232" max="10232" width="15.26953125" style="132" customWidth="1"/>
    <col min="10233" max="10233" width="12.6328125" style="132" customWidth="1"/>
    <col min="10234" max="10234" width="11.81640625" style="132" bestFit="1" customWidth="1"/>
    <col min="10235" max="10235" width="11.36328125" style="132" customWidth="1"/>
    <col min="10236" max="10236" width="11.54296875" style="132" customWidth="1"/>
    <col min="10237" max="10237" width="12.6328125" style="132" customWidth="1"/>
    <col min="10238" max="10238" width="11.26953125" style="132" bestFit="1" customWidth="1"/>
    <col min="10239" max="10239" width="12.1796875" style="132" customWidth="1"/>
    <col min="10240" max="10241" width="13.36328125" style="132" bestFit="1" customWidth="1"/>
    <col min="10242" max="10242" width="13.90625" style="132" bestFit="1" customWidth="1"/>
    <col min="10243" max="10262" width="12.6328125" style="132" customWidth="1"/>
    <col min="10263" max="10263" width="11.26953125" style="132" customWidth="1"/>
    <col min="10264" max="10264" width="11.81640625" style="132" bestFit="1" customWidth="1"/>
    <col min="10265" max="10486" width="10.26953125" style="132"/>
    <col min="10487" max="10487" width="4.7265625" style="132" customWidth="1"/>
    <col min="10488" max="10488" width="15.26953125" style="132" customWidth="1"/>
    <col min="10489" max="10489" width="12.6328125" style="132" customWidth="1"/>
    <col min="10490" max="10490" width="11.81640625" style="132" bestFit="1" customWidth="1"/>
    <col min="10491" max="10491" width="11.36328125" style="132" customWidth="1"/>
    <col min="10492" max="10492" width="11.54296875" style="132" customWidth="1"/>
    <col min="10493" max="10493" width="12.6328125" style="132" customWidth="1"/>
    <col min="10494" max="10494" width="11.26953125" style="132" bestFit="1" customWidth="1"/>
    <col min="10495" max="10495" width="12.1796875" style="132" customWidth="1"/>
    <col min="10496" max="10497" width="13.36328125" style="132" bestFit="1" customWidth="1"/>
    <col min="10498" max="10498" width="13.90625" style="132" bestFit="1" customWidth="1"/>
    <col min="10499" max="10518" width="12.6328125" style="132" customWidth="1"/>
    <col min="10519" max="10519" width="11.26953125" style="132" customWidth="1"/>
    <col min="10520" max="10520" width="11.81640625" style="132" bestFit="1" customWidth="1"/>
    <col min="10521" max="10742" width="10.26953125" style="132"/>
    <col min="10743" max="10743" width="4.7265625" style="132" customWidth="1"/>
    <col min="10744" max="10744" width="15.26953125" style="132" customWidth="1"/>
    <col min="10745" max="10745" width="12.6328125" style="132" customWidth="1"/>
    <col min="10746" max="10746" width="11.81640625" style="132" bestFit="1" customWidth="1"/>
    <col min="10747" max="10747" width="11.36328125" style="132" customWidth="1"/>
    <col min="10748" max="10748" width="11.54296875" style="132" customWidth="1"/>
    <col min="10749" max="10749" width="12.6328125" style="132" customWidth="1"/>
    <col min="10750" max="10750" width="11.26953125" style="132" bestFit="1" customWidth="1"/>
    <col min="10751" max="10751" width="12.1796875" style="132" customWidth="1"/>
    <col min="10752" max="10753" width="13.36328125" style="132" bestFit="1" customWidth="1"/>
    <col min="10754" max="10754" width="13.90625" style="132" bestFit="1" customWidth="1"/>
    <col min="10755" max="10774" width="12.6328125" style="132" customWidth="1"/>
    <col min="10775" max="10775" width="11.26953125" style="132" customWidth="1"/>
    <col min="10776" max="10776" width="11.81640625" style="132" bestFit="1" customWidth="1"/>
    <col min="10777" max="10998" width="10.26953125" style="132"/>
    <col min="10999" max="10999" width="4.7265625" style="132" customWidth="1"/>
    <col min="11000" max="11000" width="15.26953125" style="132" customWidth="1"/>
    <col min="11001" max="11001" width="12.6328125" style="132" customWidth="1"/>
    <col min="11002" max="11002" width="11.81640625" style="132" bestFit="1" customWidth="1"/>
    <col min="11003" max="11003" width="11.36328125" style="132" customWidth="1"/>
    <col min="11004" max="11004" width="11.54296875" style="132" customWidth="1"/>
    <col min="11005" max="11005" width="12.6328125" style="132" customWidth="1"/>
    <col min="11006" max="11006" width="11.26953125" style="132" bestFit="1" customWidth="1"/>
    <col min="11007" max="11007" width="12.1796875" style="132" customWidth="1"/>
    <col min="11008" max="11009" width="13.36328125" style="132" bestFit="1" customWidth="1"/>
    <col min="11010" max="11010" width="13.90625" style="132" bestFit="1" customWidth="1"/>
    <col min="11011" max="11030" width="12.6328125" style="132" customWidth="1"/>
    <col min="11031" max="11031" width="11.26953125" style="132" customWidth="1"/>
    <col min="11032" max="11032" width="11.81640625" style="132" bestFit="1" customWidth="1"/>
    <col min="11033" max="11254" width="10.26953125" style="132"/>
    <col min="11255" max="11255" width="4.7265625" style="132" customWidth="1"/>
    <col min="11256" max="11256" width="15.26953125" style="132" customWidth="1"/>
    <col min="11257" max="11257" width="12.6328125" style="132" customWidth="1"/>
    <col min="11258" max="11258" width="11.81640625" style="132" bestFit="1" customWidth="1"/>
    <col min="11259" max="11259" width="11.36328125" style="132" customWidth="1"/>
    <col min="11260" max="11260" width="11.54296875" style="132" customWidth="1"/>
    <col min="11261" max="11261" width="12.6328125" style="132" customWidth="1"/>
    <col min="11262" max="11262" width="11.26953125" style="132" bestFit="1" customWidth="1"/>
    <col min="11263" max="11263" width="12.1796875" style="132" customWidth="1"/>
    <col min="11264" max="11265" width="13.36328125" style="132" bestFit="1" customWidth="1"/>
    <col min="11266" max="11266" width="13.90625" style="132" bestFit="1" customWidth="1"/>
    <col min="11267" max="11286" width="12.6328125" style="132" customWidth="1"/>
    <col min="11287" max="11287" width="11.26953125" style="132" customWidth="1"/>
    <col min="11288" max="11288" width="11.81640625" style="132" bestFit="1" customWidth="1"/>
    <col min="11289" max="11510" width="10.26953125" style="132"/>
    <col min="11511" max="11511" width="4.7265625" style="132" customWidth="1"/>
    <col min="11512" max="11512" width="15.26953125" style="132" customWidth="1"/>
    <col min="11513" max="11513" width="12.6328125" style="132" customWidth="1"/>
    <col min="11514" max="11514" width="11.81640625" style="132" bestFit="1" customWidth="1"/>
    <col min="11515" max="11515" width="11.36328125" style="132" customWidth="1"/>
    <col min="11516" max="11516" width="11.54296875" style="132" customWidth="1"/>
    <col min="11517" max="11517" width="12.6328125" style="132" customWidth="1"/>
    <col min="11518" max="11518" width="11.26953125" style="132" bestFit="1" customWidth="1"/>
    <col min="11519" max="11519" width="12.1796875" style="132" customWidth="1"/>
    <col min="11520" max="11521" width="13.36328125" style="132" bestFit="1" customWidth="1"/>
    <col min="11522" max="11522" width="13.90625" style="132" bestFit="1" customWidth="1"/>
    <col min="11523" max="11542" width="12.6328125" style="132" customWidth="1"/>
    <col min="11543" max="11543" width="11.26953125" style="132" customWidth="1"/>
    <col min="11544" max="11544" width="11.81640625" style="132" bestFit="1" customWidth="1"/>
    <col min="11545" max="11766" width="10.26953125" style="132"/>
    <col min="11767" max="11767" width="4.7265625" style="132" customWidth="1"/>
    <col min="11768" max="11768" width="15.26953125" style="132" customWidth="1"/>
    <col min="11769" max="11769" width="12.6328125" style="132" customWidth="1"/>
    <col min="11770" max="11770" width="11.81640625" style="132" bestFit="1" customWidth="1"/>
    <col min="11771" max="11771" width="11.36328125" style="132" customWidth="1"/>
    <col min="11772" max="11772" width="11.54296875" style="132" customWidth="1"/>
    <col min="11773" max="11773" width="12.6328125" style="132" customWidth="1"/>
    <col min="11774" max="11774" width="11.26953125" style="132" bestFit="1" customWidth="1"/>
    <col min="11775" max="11775" width="12.1796875" style="132" customWidth="1"/>
    <col min="11776" max="11777" width="13.36328125" style="132" bestFit="1" customWidth="1"/>
    <col min="11778" max="11778" width="13.90625" style="132" bestFit="1" customWidth="1"/>
    <col min="11779" max="11798" width="12.6328125" style="132" customWidth="1"/>
    <col min="11799" max="11799" width="11.26953125" style="132" customWidth="1"/>
    <col min="11800" max="11800" width="11.81640625" style="132" bestFit="1" customWidth="1"/>
    <col min="11801" max="12022" width="10.26953125" style="132"/>
    <col min="12023" max="12023" width="4.7265625" style="132" customWidth="1"/>
    <col min="12024" max="12024" width="15.26953125" style="132" customWidth="1"/>
    <col min="12025" max="12025" width="12.6328125" style="132" customWidth="1"/>
    <col min="12026" max="12026" width="11.81640625" style="132" bestFit="1" customWidth="1"/>
    <col min="12027" max="12027" width="11.36328125" style="132" customWidth="1"/>
    <col min="12028" max="12028" width="11.54296875" style="132" customWidth="1"/>
    <col min="12029" max="12029" width="12.6328125" style="132" customWidth="1"/>
    <col min="12030" max="12030" width="11.26953125" style="132" bestFit="1" customWidth="1"/>
    <col min="12031" max="12031" width="12.1796875" style="132" customWidth="1"/>
    <col min="12032" max="12033" width="13.36328125" style="132" bestFit="1" customWidth="1"/>
    <col min="12034" max="12034" width="13.90625" style="132" bestFit="1" customWidth="1"/>
    <col min="12035" max="12054" width="12.6328125" style="132" customWidth="1"/>
    <col min="12055" max="12055" width="11.26953125" style="132" customWidth="1"/>
    <col min="12056" max="12056" width="11.81640625" style="132" bestFit="1" customWidth="1"/>
    <col min="12057" max="12278" width="10.26953125" style="132"/>
    <col min="12279" max="12279" width="4.7265625" style="132" customWidth="1"/>
    <col min="12280" max="12280" width="15.26953125" style="132" customWidth="1"/>
    <col min="12281" max="12281" width="12.6328125" style="132" customWidth="1"/>
    <col min="12282" max="12282" width="11.81640625" style="132" bestFit="1" customWidth="1"/>
    <col min="12283" max="12283" width="11.36328125" style="132" customWidth="1"/>
    <col min="12284" max="12284" width="11.54296875" style="132" customWidth="1"/>
    <col min="12285" max="12285" width="12.6328125" style="132" customWidth="1"/>
    <col min="12286" max="12286" width="11.26953125" style="132" bestFit="1" customWidth="1"/>
    <col min="12287" max="12287" width="12.1796875" style="132" customWidth="1"/>
    <col min="12288" max="12289" width="13.36328125" style="132" bestFit="1" customWidth="1"/>
    <col min="12290" max="12290" width="13.90625" style="132" bestFit="1" customWidth="1"/>
    <col min="12291" max="12310" width="12.6328125" style="132" customWidth="1"/>
    <col min="12311" max="12311" width="11.26953125" style="132" customWidth="1"/>
    <col min="12312" max="12312" width="11.81640625" style="132" bestFit="1" customWidth="1"/>
    <col min="12313" max="12534" width="10.26953125" style="132"/>
    <col min="12535" max="12535" width="4.7265625" style="132" customWidth="1"/>
    <col min="12536" max="12536" width="15.26953125" style="132" customWidth="1"/>
    <col min="12537" max="12537" width="12.6328125" style="132" customWidth="1"/>
    <col min="12538" max="12538" width="11.81640625" style="132" bestFit="1" customWidth="1"/>
    <col min="12539" max="12539" width="11.36328125" style="132" customWidth="1"/>
    <col min="12540" max="12540" width="11.54296875" style="132" customWidth="1"/>
    <col min="12541" max="12541" width="12.6328125" style="132" customWidth="1"/>
    <col min="12542" max="12542" width="11.26953125" style="132" bestFit="1" customWidth="1"/>
    <col min="12543" max="12543" width="12.1796875" style="132" customWidth="1"/>
    <col min="12544" max="12545" width="13.36328125" style="132" bestFit="1" customWidth="1"/>
    <col min="12546" max="12546" width="13.90625" style="132" bestFit="1" customWidth="1"/>
    <col min="12547" max="12566" width="12.6328125" style="132" customWidth="1"/>
    <col min="12567" max="12567" width="11.26953125" style="132" customWidth="1"/>
    <col min="12568" max="12568" width="11.81640625" style="132" bestFit="1" customWidth="1"/>
    <col min="12569" max="12790" width="10.26953125" style="132"/>
    <col min="12791" max="12791" width="4.7265625" style="132" customWidth="1"/>
    <col min="12792" max="12792" width="15.26953125" style="132" customWidth="1"/>
    <col min="12793" max="12793" width="12.6328125" style="132" customWidth="1"/>
    <col min="12794" max="12794" width="11.81640625" style="132" bestFit="1" customWidth="1"/>
    <col min="12795" max="12795" width="11.36328125" style="132" customWidth="1"/>
    <col min="12796" max="12796" width="11.54296875" style="132" customWidth="1"/>
    <col min="12797" max="12797" width="12.6328125" style="132" customWidth="1"/>
    <col min="12798" max="12798" width="11.26953125" style="132" bestFit="1" customWidth="1"/>
    <col min="12799" max="12799" width="12.1796875" style="132" customWidth="1"/>
    <col min="12800" max="12801" width="13.36328125" style="132" bestFit="1" customWidth="1"/>
    <col min="12802" max="12802" width="13.90625" style="132" bestFit="1" customWidth="1"/>
    <col min="12803" max="12822" width="12.6328125" style="132" customWidth="1"/>
    <col min="12823" max="12823" width="11.26953125" style="132" customWidth="1"/>
    <col min="12824" max="12824" width="11.81640625" style="132" bestFit="1" customWidth="1"/>
    <col min="12825" max="13046" width="10.26953125" style="132"/>
    <col min="13047" max="13047" width="4.7265625" style="132" customWidth="1"/>
    <col min="13048" max="13048" width="15.26953125" style="132" customWidth="1"/>
    <col min="13049" max="13049" width="12.6328125" style="132" customWidth="1"/>
    <col min="13050" max="13050" width="11.81640625" style="132" bestFit="1" customWidth="1"/>
    <col min="13051" max="13051" width="11.36328125" style="132" customWidth="1"/>
    <col min="13052" max="13052" width="11.54296875" style="132" customWidth="1"/>
    <col min="13053" max="13053" width="12.6328125" style="132" customWidth="1"/>
    <col min="13054" max="13054" width="11.26953125" style="132" bestFit="1" customWidth="1"/>
    <col min="13055" max="13055" width="12.1796875" style="132" customWidth="1"/>
    <col min="13056" max="13057" width="13.36328125" style="132" bestFit="1" customWidth="1"/>
    <col min="13058" max="13058" width="13.90625" style="132" bestFit="1" customWidth="1"/>
    <col min="13059" max="13078" width="12.6328125" style="132" customWidth="1"/>
    <col min="13079" max="13079" width="11.26953125" style="132" customWidth="1"/>
    <col min="13080" max="13080" width="11.81640625" style="132" bestFit="1" customWidth="1"/>
    <col min="13081" max="13302" width="10.26953125" style="132"/>
    <col min="13303" max="13303" width="4.7265625" style="132" customWidth="1"/>
    <col min="13304" max="13304" width="15.26953125" style="132" customWidth="1"/>
    <col min="13305" max="13305" width="12.6328125" style="132" customWidth="1"/>
    <col min="13306" max="13306" width="11.81640625" style="132" bestFit="1" customWidth="1"/>
    <col min="13307" max="13307" width="11.36328125" style="132" customWidth="1"/>
    <col min="13308" max="13308" width="11.54296875" style="132" customWidth="1"/>
    <col min="13309" max="13309" width="12.6328125" style="132" customWidth="1"/>
    <col min="13310" max="13310" width="11.26953125" style="132" bestFit="1" customWidth="1"/>
    <col min="13311" max="13311" width="12.1796875" style="132" customWidth="1"/>
    <col min="13312" max="13313" width="13.36328125" style="132" bestFit="1" customWidth="1"/>
    <col min="13314" max="13314" width="13.90625" style="132" bestFit="1" customWidth="1"/>
    <col min="13315" max="13334" width="12.6328125" style="132" customWidth="1"/>
    <col min="13335" max="13335" width="11.26953125" style="132" customWidth="1"/>
    <col min="13336" max="13336" width="11.81640625" style="132" bestFit="1" customWidth="1"/>
    <col min="13337" max="13558" width="10.26953125" style="132"/>
    <col min="13559" max="13559" width="4.7265625" style="132" customWidth="1"/>
    <col min="13560" max="13560" width="15.26953125" style="132" customWidth="1"/>
    <col min="13561" max="13561" width="12.6328125" style="132" customWidth="1"/>
    <col min="13562" max="13562" width="11.81640625" style="132" bestFit="1" customWidth="1"/>
    <col min="13563" max="13563" width="11.36328125" style="132" customWidth="1"/>
    <col min="13564" max="13564" width="11.54296875" style="132" customWidth="1"/>
    <col min="13565" max="13565" width="12.6328125" style="132" customWidth="1"/>
    <col min="13566" max="13566" width="11.26953125" style="132" bestFit="1" customWidth="1"/>
    <col min="13567" max="13567" width="12.1796875" style="132" customWidth="1"/>
    <col min="13568" max="13569" width="13.36328125" style="132" bestFit="1" customWidth="1"/>
    <col min="13570" max="13570" width="13.90625" style="132" bestFit="1" customWidth="1"/>
    <col min="13571" max="13590" width="12.6328125" style="132" customWidth="1"/>
    <col min="13591" max="13591" width="11.26953125" style="132" customWidth="1"/>
    <col min="13592" max="13592" width="11.81640625" style="132" bestFit="1" customWidth="1"/>
    <col min="13593" max="13814" width="10.26953125" style="132"/>
    <col min="13815" max="13815" width="4.7265625" style="132" customWidth="1"/>
    <col min="13816" max="13816" width="15.26953125" style="132" customWidth="1"/>
    <col min="13817" max="13817" width="12.6328125" style="132" customWidth="1"/>
    <col min="13818" max="13818" width="11.81640625" style="132" bestFit="1" customWidth="1"/>
    <col min="13819" max="13819" width="11.36328125" style="132" customWidth="1"/>
    <col min="13820" max="13820" width="11.54296875" style="132" customWidth="1"/>
    <col min="13821" max="13821" width="12.6328125" style="132" customWidth="1"/>
    <col min="13822" max="13822" width="11.26953125" style="132" bestFit="1" customWidth="1"/>
    <col min="13823" max="13823" width="12.1796875" style="132" customWidth="1"/>
    <col min="13824" max="13825" width="13.36328125" style="132" bestFit="1" customWidth="1"/>
    <col min="13826" max="13826" width="13.90625" style="132" bestFit="1" customWidth="1"/>
    <col min="13827" max="13846" width="12.6328125" style="132" customWidth="1"/>
    <col min="13847" max="13847" width="11.26953125" style="132" customWidth="1"/>
    <col min="13848" max="13848" width="11.81640625" style="132" bestFit="1" customWidth="1"/>
    <col min="13849" max="14070" width="10.26953125" style="132"/>
    <col min="14071" max="14071" width="4.7265625" style="132" customWidth="1"/>
    <col min="14072" max="14072" width="15.26953125" style="132" customWidth="1"/>
    <col min="14073" max="14073" width="12.6328125" style="132" customWidth="1"/>
    <col min="14074" max="14074" width="11.81640625" style="132" bestFit="1" customWidth="1"/>
    <col min="14075" max="14075" width="11.36328125" style="132" customWidth="1"/>
    <col min="14076" max="14076" width="11.54296875" style="132" customWidth="1"/>
    <col min="14077" max="14077" width="12.6328125" style="132" customWidth="1"/>
    <col min="14078" max="14078" width="11.26953125" style="132" bestFit="1" customWidth="1"/>
    <col min="14079" max="14079" width="12.1796875" style="132" customWidth="1"/>
    <col min="14080" max="14081" width="13.36328125" style="132" bestFit="1" customWidth="1"/>
    <col min="14082" max="14082" width="13.90625" style="132" bestFit="1" customWidth="1"/>
    <col min="14083" max="14102" width="12.6328125" style="132" customWidth="1"/>
    <col min="14103" max="14103" width="11.26953125" style="132" customWidth="1"/>
    <col min="14104" max="14104" width="11.81640625" style="132" bestFit="1" customWidth="1"/>
    <col min="14105" max="14326" width="10.26953125" style="132"/>
    <col min="14327" max="14327" width="4.7265625" style="132" customWidth="1"/>
    <col min="14328" max="14328" width="15.26953125" style="132" customWidth="1"/>
    <col min="14329" max="14329" width="12.6328125" style="132" customWidth="1"/>
    <col min="14330" max="14330" width="11.81640625" style="132" bestFit="1" customWidth="1"/>
    <col min="14331" max="14331" width="11.36328125" style="132" customWidth="1"/>
    <col min="14332" max="14332" width="11.54296875" style="132" customWidth="1"/>
    <col min="14333" max="14333" width="12.6328125" style="132" customWidth="1"/>
    <col min="14334" max="14334" width="11.26953125" style="132" bestFit="1" customWidth="1"/>
    <col min="14335" max="14335" width="12.1796875" style="132" customWidth="1"/>
    <col min="14336" max="14337" width="13.36328125" style="132" bestFit="1" customWidth="1"/>
    <col min="14338" max="14338" width="13.90625" style="132" bestFit="1" customWidth="1"/>
    <col min="14339" max="14358" width="12.6328125" style="132" customWidth="1"/>
    <col min="14359" max="14359" width="11.26953125" style="132" customWidth="1"/>
    <col min="14360" max="14360" width="11.81640625" style="132" bestFit="1" customWidth="1"/>
    <col min="14361" max="14582" width="10.26953125" style="132"/>
    <col min="14583" max="14583" width="4.7265625" style="132" customWidth="1"/>
    <col min="14584" max="14584" width="15.26953125" style="132" customWidth="1"/>
    <col min="14585" max="14585" width="12.6328125" style="132" customWidth="1"/>
    <col min="14586" max="14586" width="11.81640625" style="132" bestFit="1" customWidth="1"/>
    <col min="14587" max="14587" width="11.36328125" style="132" customWidth="1"/>
    <col min="14588" max="14588" width="11.54296875" style="132" customWidth="1"/>
    <col min="14589" max="14589" width="12.6328125" style="132" customWidth="1"/>
    <col min="14590" max="14590" width="11.26953125" style="132" bestFit="1" customWidth="1"/>
    <col min="14591" max="14591" width="12.1796875" style="132" customWidth="1"/>
    <col min="14592" max="14593" width="13.36328125" style="132" bestFit="1" customWidth="1"/>
    <col min="14594" max="14594" width="13.90625" style="132" bestFit="1" customWidth="1"/>
    <col min="14595" max="14614" width="12.6328125" style="132" customWidth="1"/>
    <col min="14615" max="14615" width="11.26953125" style="132" customWidth="1"/>
    <col min="14616" max="14616" width="11.81640625" style="132" bestFit="1" customWidth="1"/>
    <col min="14617" max="14838" width="10.26953125" style="132"/>
    <col min="14839" max="14839" width="4.7265625" style="132" customWidth="1"/>
    <col min="14840" max="14840" width="15.26953125" style="132" customWidth="1"/>
    <col min="14841" max="14841" width="12.6328125" style="132" customWidth="1"/>
    <col min="14842" max="14842" width="11.81640625" style="132" bestFit="1" customWidth="1"/>
    <col min="14843" max="14843" width="11.36328125" style="132" customWidth="1"/>
    <col min="14844" max="14844" width="11.54296875" style="132" customWidth="1"/>
    <col min="14845" max="14845" width="12.6328125" style="132" customWidth="1"/>
    <col min="14846" max="14846" width="11.26953125" style="132" bestFit="1" customWidth="1"/>
    <col min="14847" max="14847" width="12.1796875" style="132" customWidth="1"/>
    <col min="14848" max="14849" width="13.36328125" style="132" bestFit="1" customWidth="1"/>
    <col min="14850" max="14850" width="13.90625" style="132" bestFit="1" customWidth="1"/>
    <col min="14851" max="14870" width="12.6328125" style="132" customWidth="1"/>
    <col min="14871" max="14871" width="11.26953125" style="132" customWidth="1"/>
    <col min="14872" max="14872" width="11.81640625" style="132" bestFit="1" customWidth="1"/>
    <col min="14873" max="15094" width="10.26953125" style="132"/>
    <col min="15095" max="15095" width="4.7265625" style="132" customWidth="1"/>
    <col min="15096" max="15096" width="15.26953125" style="132" customWidth="1"/>
    <col min="15097" max="15097" width="12.6328125" style="132" customWidth="1"/>
    <col min="15098" max="15098" width="11.81640625" style="132" bestFit="1" customWidth="1"/>
    <col min="15099" max="15099" width="11.36328125" style="132" customWidth="1"/>
    <col min="15100" max="15100" width="11.54296875" style="132" customWidth="1"/>
    <col min="15101" max="15101" width="12.6328125" style="132" customWidth="1"/>
    <col min="15102" max="15102" width="11.26953125" style="132" bestFit="1" customWidth="1"/>
    <col min="15103" max="15103" width="12.1796875" style="132" customWidth="1"/>
    <col min="15104" max="15105" width="13.36328125" style="132" bestFit="1" customWidth="1"/>
    <col min="15106" max="15106" width="13.90625" style="132" bestFit="1" customWidth="1"/>
    <col min="15107" max="15126" width="12.6328125" style="132" customWidth="1"/>
    <col min="15127" max="15127" width="11.26953125" style="132" customWidth="1"/>
    <col min="15128" max="15128" width="11.81640625" style="132" bestFit="1" customWidth="1"/>
    <col min="15129" max="15350" width="10.26953125" style="132"/>
    <col min="15351" max="15351" width="4.7265625" style="132" customWidth="1"/>
    <col min="15352" max="15352" width="15.26953125" style="132" customWidth="1"/>
    <col min="15353" max="15353" width="12.6328125" style="132" customWidth="1"/>
    <col min="15354" max="15354" width="11.81640625" style="132" bestFit="1" customWidth="1"/>
    <col min="15355" max="15355" width="11.36328125" style="132" customWidth="1"/>
    <col min="15356" max="15356" width="11.54296875" style="132" customWidth="1"/>
    <col min="15357" max="15357" width="12.6328125" style="132" customWidth="1"/>
    <col min="15358" max="15358" width="11.26953125" style="132" bestFit="1" customWidth="1"/>
    <col min="15359" max="15359" width="12.1796875" style="132" customWidth="1"/>
    <col min="15360" max="15361" width="13.36328125" style="132" bestFit="1" customWidth="1"/>
    <col min="15362" max="15362" width="13.90625" style="132" bestFit="1" customWidth="1"/>
    <col min="15363" max="15382" width="12.6328125" style="132" customWidth="1"/>
    <col min="15383" max="15383" width="11.26953125" style="132" customWidth="1"/>
    <col min="15384" max="15384" width="11.81640625" style="132" bestFit="1" customWidth="1"/>
    <col min="15385" max="15606" width="10.26953125" style="132"/>
    <col min="15607" max="15607" width="4.7265625" style="132" customWidth="1"/>
    <col min="15608" max="15608" width="15.26953125" style="132" customWidth="1"/>
    <col min="15609" max="15609" width="12.6328125" style="132" customWidth="1"/>
    <col min="15610" max="15610" width="11.81640625" style="132" bestFit="1" customWidth="1"/>
    <col min="15611" max="15611" width="11.36328125" style="132" customWidth="1"/>
    <col min="15612" max="15612" width="11.54296875" style="132" customWidth="1"/>
    <col min="15613" max="15613" width="12.6328125" style="132" customWidth="1"/>
    <col min="15614" max="15614" width="11.26953125" style="132" bestFit="1" customWidth="1"/>
    <col min="15615" max="15615" width="12.1796875" style="132" customWidth="1"/>
    <col min="15616" max="15617" width="13.36328125" style="132" bestFit="1" customWidth="1"/>
    <col min="15618" max="15618" width="13.90625" style="132" bestFit="1" customWidth="1"/>
    <col min="15619" max="15638" width="12.6328125" style="132" customWidth="1"/>
    <col min="15639" max="15639" width="11.26953125" style="132" customWidth="1"/>
    <col min="15640" max="15640" width="11.81640625" style="132" bestFit="1" customWidth="1"/>
    <col min="15641" max="15862" width="10.26953125" style="132"/>
    <col min="15863" max="15863" width="4.7265625" style="132" customWidth="1"/>
    <col min="15864" max="15864" width="15.26953125" style="132" customWidth="1"/>
    <col min="15865" max="15865" width="12.6328125" style="132" customWidth="1"/>
    <col min="15866" max="15866" width="11.81640625" style="132" bestFit="1" customWidth="1"/>
    <col min="15867" max="15867" width="11.36328125" style="132" customWidth="1"/>
    <col min="15868" max="15868" width="11.54296875" style="132" customWidth="1"/>
    <col min="15869" max="15869" width="12.6328125" style="132" customWidth="1"/>
    <col min="15870" max="15870" width="11.26953125" style="132" bestFit="1" customWidth="1"/>
    <col min="15871" max="15871" width="12.1796875" style="132" customWidth="1"/>
    <col min="15872" max="15873" width="13.36328125" style="132" bestFit="1" customWidth="1"/>
    <col min="15874" max="15874" width="13.90625" style="132" bestFit="1" customWidth="1"/>
    <col min="15875" max="15894" width="12.6328125" style="132" customWidth="1"/>
    <col min="15895" max="15895" width="11.26953125" style="132" customWidth="1"/>
    <col min="15896" max="15896" width="11.81640625" style="132" bestFit="1" customWidth="1"/>
    <col min="15897" max="16118" width="10.26953125" style="132"/>
    <col min="16119" max="16119" width="4.7265625" style="132" customWidth="1"/>
    <col min="16120" max="16120" width="15.26953125" style="132" customWidth="1"/>
    <col min="16121" max="16121" width="12.6328125" style="132" customWidth="1"/>
    <col min="16122" max="16122" width="11.81640625" style="132" bestFit="1" customWidth="1"/>
    <col min="16123" max="16123" width="11.36328125" style="132" customWidth="1"/>
    <col min="16124" max="16124" width="11.54296875" style="132" customWidth="1"/>
    <col min="16125" max="16125" width="12.6328125" style="132" customWidth="1"/>
    <col min="16126" max="16126" width="11.26953125" style="132" bestFit="1" customWidth="1"/>
    <col min="16127" max="16127" width="12.1796875" style="132" customWidth="1"/>
    <col min="16128" max="16129" width="13.36328125" style="132" bestFit="1" customWidth="1"/>
    <col min="16130" max="16130" width="13.90625" style="132" bestFit="1" customWidth="1"/>
    <col min="16131" max="16150" width="12.6328125" style="132" customWidth="1"/>
    <col min="16151" max="16151" width="11.26953125" style="132" customWidth="1"/>
    <col min="16152" max="16152" width="11.81640625" style="132" bestFit="1" customWidth="1"/>
    <col min="16153" max="16384" width="10.26953125" style="132"/>
  </cols>
  <sheetData>
    <row r="1" spans="1:25" ht="20" x14ac:dyDescent="0.4">
      <c r="A1" s="131" t="s">
        <v>115</v>
      </c>
      <c r="I1" s="133"/>
    </row>
    <row r="2" spans="1:25" ht="20" x14ac:dyDescent="0.4">
      <c r="A2" s="131" t="s">
        <v>205</v>
      </c>
    </row>
    <row r="3" spans="1:25" x14ac:dyDescent="0.35">
      <c r="A3" s="177" t="s">
        <v>116</v>
      </c>
      <c r="B3" s="177"/>
      <c r="E3" s="134"/>
      <c r="G3" s="135" t="s">
        <v>164</v>
      </c>
      <c r="H3" s="135" t="s">
        <v>93</v>
      </c>
      <c r="J3" s="136" t="s">
        <v>117</v>
      </c>
      <c r="K3" s="137"/>
      <c r="L3" s="138"/>
      <c r="M3" s="139">
        <f>NPV(C16,D38:W38)+C38</f>
        <v>153995.52472561924</v>
      </c>
    </row>
    <row r="4" spans="1:25" x14ac:dyDescent="0.35">
      <c r="A4" s="140" t="s">
        <v>118</v>
      </c>
      <c r="B4" s="140"/>
      <c r="E4" s="132" t="s">
        <v>119</v>
      </c>
      <c r="G4" s="171">
        <v>500</v>
      </c>
      <c r="H4" s="171">
        <v>250</v>
      </c>
      <c r="J4" s="137" t="s">
        <v>120</v>
      </c>
      <c r="K4" s="137"/>
      <c r="L4" s="138"/>
      <c r="M4" s="141">
        <f>IRR(C38:W38)</f>
        <v>8.1695684001236168E-2</v>
      </c>
      <c r="W4" s="142"/>
    </row>
    <row r="5" spans="1:25" x14ac:dyDescent="0.35">
      <c r="E5" s="134" t="s">
        <v>121</v>
      </c>
      <c r="G5" s="172">
        <f>Budget!O3</f>
        <v>2275</v>
      </c>
      <c r="H5" s="172">
        <f>Budget!Q3</f>
        <v>485.00000000000006</v>
      </c>
      <c r="J5" s="137" t="s">
        <v>122</v>
      </c>
      <c r="K5" s="138"/>
      <c r="L5" s="138"/>
      <c r="M5" s="141">
        <f>MIRR(C38:W38,C14,C16)</f>
        <v>7.3658614195285077E-2</v>
      </c>
      <c r="N5" s="143"/>
      <c r="O5" s="143"/>
      <c r="P5" s="143"/>
      <c r="Q5" s="143"/>
      <c r="R5" s="143"/>
      <c r="S5" s="143"/>
      <c r="T5" s="143"/>
      <c r="U5" s="143"/>
      <c r="V5" s="143"/>
    </row>
    <row r="6" spans="1:25" x14ac:dyDescent="0.35">
      <c r="A6" s="132" t="s">
        <v>123</v>
      </c>
      <c r="C6" s="174">
        <f>SUM(F12:F14)</f>
        <v>1455219.98</v>
      </c>
      <c r="E6" s="132" t="s">
        <v>124</v>
      </c>
      <c r="G6" s="172">
        <f>Budget!O9</f>
        <v>1837.7973481481481</v>
      </c>
      <c r="H6" s="172">
        <f>Budget!Q9</f>
        <v>272.7973481481481</v>
      </c>
      <c r="J6" s="144"/>
      <c r="K6" s="144"/>
      <c r="L6" s="142"/>
      <c r="M6" s="144"/>
      <c r="N6" s="135"/>
      <c r="O6" s="135"/>
      <c r="P6" s="135"/>
      <c r="Q6" s="135"/>
      <c r="R6" s="135"/>
      <c r="S6" s="135"/>
      <c r="T6" s="135"/>
      <c r="U6" s="135"/>
      <c r="V6" s="135"/>
      <c r="W6" s="133"/>
      <c r="X6" s="133"/>
    </row>
    <row r="7" spans="1:25" x14ac:dyDescent="0.35">
      <c r="A7" s="132" t="s">
        <v>125</v>
      </c>
      <c r="C7" s="174">
        <f>F14*(39.5-C18)/39.5</f>
        <v>612151.89873417723</v>
      </c>
      <c r="E7" s="134" t="s">
        <v>126</v>
      </c>
      <c r="G7" s="172">
        <f>Budget!M11-Budget!H71</f>
        <v>69114.104850000003</v>
      </c>
      <c r="H7" s="145"/>
      <c r="L7" s="146"/>
      <c r="M7" s="146"/>
      <c r="N7" s="146"/>
      <c r="O7" s="146"/>
      <c r="P7" s="146"/>
      <c r="Q7" s="146"/>
      <c r="R7" s="146"/>
      <c r="S7" s="146"/>
      <c r="U7" s="146"/>
      <c r="V7" s="146"/>
    </row>
    <row r="8" spans="1:25" x14ac:dyDescent="0.35">
      <c r="A8" s="134" t="s">
        <v>127</v>
      </c>
      <c r="C8" s="147">
        <f>IF(C17&gt;C18,-PV(C14,+C17-C18,G9),0)</f>
        <v>0</v>
      </c>
      <c r="E8" s="132" t="s">
        <v>221</v>
      </c>
      <c r="G8" s="194">
        <f>'Small Tools'!E33</f>
        <v>20938.829999999994</v>
      </c>
      <c r="H8" s="142"/>
      <c r="M8" s="146"/>
      <c r="N8" s="146"/>
      <c r="O8" s="146"/>
      <c r="P8" s="146"/>
      <c r="Q8" s="146"/>
      <c r="R8" s="146"/>
      <c r="S8" s="146"/>
      <c r="T8" s="146"/>
      <c r="U8" s="148"/>
      <c r="V8" s="146"/>
    </row>
    <row r="9" spans="1:25" x14ac:dyDescent="0.35">
      <c r="A9" s="132" t="s">
        <v>128</v>
      </c>
      <c r="C9" s="142"/>
      <c r="E9" s="142" t="s">
        <v>165</v>
      </c>
      <c r="F9" s="142"/>
      <c r="G9" s="205">
        <f>PMT(C14,C17,-(C6*C13))</f>
        <v>70099.610923939428</v>
      </c>
      <c r="H9" s="142"/>
      <c r="N9" s="146"/>
      <c r="O9" s="146"/>
      <c r="P9" s="146"/>
      <c r="Q9" s="146"/>
      <c r="R9" s="146"/>
      <c r="S9" s="146"/>
      <c r="T9" s="146"/>
      <c r="U9" s="146"/>
      <c r="V9" s="146"/>
    </row>
    <row r="10" spans="1:25" x14ac:dyDescent="0.35">
      <c r="B10" s="132" t="s">
        <v>129</v>
      </c>
      <c r="C10" s="175">
        <v>0.02</v>
      </c>
      <c r="E10" s="132" t="s">
        <v>137</v>
      </c>
      <c r="G10" s="178">
        <f>'Initial Costs'!D36*(1+C11)^10</f>
        <v>197257.65266366318</v>
      </c>
      <c r="H10" s="151"/>
      <c r="N10" s="148"/>
      <c r="O10" s="148"/>
      <c r="P10" s="148"/>
      <c r="Q10" s="148"/>
      <c r="R10" s="148"/>
      <c r="S10" s="148"/>
      <c r="T10" s="148"/>
      <c r="U10" s="148"/>
      <c r="V10" s="148"/>
    </row>
    <row r="11" spans="1:25" x14ac:dyDescent="0.35">
      <c r="B11" s="132" t="s">
        <v>131</v>
      </c>
      <c r="C11" s="175">
        <v>0.02</v>
      </c>
      <c r="E11" s="149" t="s">
        <v>130</v>
      </c>
      <c r="F11" s="150"/>
      <c r="G11" s="150"/>
      <c r="H11" s="142"/>
    </row>
    <row r="12" spans="1:25" x14ac:dyDescent="0.35">
      <c r="A12" s="132" t="s">
        <v>134</v>
      </c>
      <c r="C12" s="175">
        <v>0.35</v>
      </c>
      <c r="E12" s="132" t="s">
        <v>132</v>
      </c>
      <c r="F12" s="172">
        <f>'Initial Costs'!C39</f>
        <v>30000</v>
      </c>
      <c r="G12" s="142" t="s">
        <v>133</v>
      </c>
    </row>
    <row r="13" spans="1:25" x14ac:dyDescent="0.35">
      <c r="A13" s="132" t="s">
        <v>138</v>
      </c>
      <c r="C13" s="175">
        <v>0.5</v>
      </c>
      <c r="E13" s="132" t="s">
        <v>135</v>
      </c>
      <c r="F13" s="172">
        <f>'Initial Costs'!C40</f>
        <v>185219.97999999998</v>
      </c>
      <c r="G13" s="142" t="s">
        <v>136</v>
      </c>
      <c r="I13" s="142"/>
      <c r="J13" s="142"/>
      <c r="K13" s="145"/>
    </row>
    <row r="14" spans="1:25" x14ac:dyDescent="0.35">
      <c r="A14" s="132" t="s">
        <v>142</v>
      </c>
      <c r="C14" s="175">
        <v>0.05</v>
      </c>
      <c r="E14" s="132" t="s">
        <v>139</v>
      </c>
      <c r="F14" s="172">
        <f>'Initial Costs'!C41</f>
        <v>1240000</v>
      </c>
      <c r="G14" s="142" t="s">
        <v>140</v>
      </c>
      <c r="W14" s="152"/>
      <c r="X14" s="152"/>
      <c r="Y14" s="152"/>
    </row>
    <row r="15" spans="1:25" x14ac:dyDescent="0.35">
      <c r="A15" s="134" t="s">
        <v>143</v>
      </c>
      <c r="B15" s="143"/>
      <c r="C15" s="176">
        <v>0.1</v>
      </c>
      <c r="W15" s="152"/>
      <c r="X15" s="152" t="s">
        <v>144</v>
      </c>
      <c r="Y15" s="152"/>
    </row>
    <row r="16" spans="1:25" x14ac:dyDescent="0.35">
      <c r="A16" s="134" t="s">
        <v>145</v>
      </c>
      <c r="C16" s="153">
        <f>+C15*(1-C12)</f>
        <v>6.5000000000000002E-2</v>
      </c>
      <c r="D16" s="133" t="s">
        <v>146</v>
      </c>
      <c r="E16" s="154"/>
      <c r="F16" s="143"/>
      <c r="G16" s="155"/>
      <c r="H16" s="143"/>
      <c r="I16" s="143"/>
      <c r="J16" s="143"/>
      <c r="K16" s="143"/>
      <c r="L16" s="143"/>
      <c r="M16" s="143"/>
      <c r="N16" s="143"/>
      <c r="O16" s="143"/>
      <c r="P16" s="143"/>
      <c r="Q16" s="143"/>
      <c r="R16" s="143"/>
      <c r="S16" s="143"/>
      <c r="T16" s="143"/>
      <c r="U16" s="143"/>
      <c r="V16" s="152"/>
      <c r="W16" s="152"/>
      <c r="X16" s="152"/>
    </row>
    <row r="17" spans="1:25" x14ac:dyDescent="0.35">
      <c r="A17" s="132" t="s">
        <v>147</v>
      </c>
      <c r="C17" s="177">
        <v>15</v>
      </c>
      <c r="D17" s="155">
        <v>1</v>
      </c>
      <c r="E17" s="156">
        <v>2</v>
      </c>
      <c r="F17" s="155">
        <v>3</v>
      </c>
      <c r="G17" s="155">
        <v>4</v>
      </c>
      <c r="H17" s="155">
        <v>5</v>
      </c>
      <c r="I17" s="155">
        <v>6</v>
      </c>
      <c r="J17" s="155">
        <v>7</v>
      </c>
      <c r="K17" s="155">
        <v>8</v>
      </c>
      <c r="L17" s="155">
        <v>9</v>
      </c>
      <c r="M17" s="155">
        <v>10</v>
      </c>
      <c r="N17" s="155">
        <v>11</v>
      </c>
      <c r="O17" s="155">
        <v>12</v>
      </c>
      <c r="P17" s="155">
        <v>13</v>
      </c>
      <c r="Q17" s="155">
        <v>14</v>
      </c>
      <c r="R17" s="155">
        <v>15</v>
      </c>
      <c r="S17" s="155">
        <v>16</v>
      </c>
      <c r="T17" s="155">
        <v>17</v>
      </c>
      <c r="U17" s="155">
        <v>18</v>
      </c>
      <c r="V17" s="155">
        <v>19</v>
      </c>
      <c r="W17" s="155">
        <v>30</v>
      </c>
      <c r="X17" s="152"/>
    </row>
    <row r="18" spans="1:25" x14ac:dyDescent="0.35">
      <c r="A18" s="134" t="s">
        <v>148</v>
      </c>
      <c r="C18" s="173">
        <v>20</v>
      </c>
      <c r="D18" s="132">
        <v>0.15</v>
      </c>
      <c r="E18" s="132">
        <v>0.255</v>
      </c>
      <c r="F18" s="132">
        <v>0.17849999999999999</v>
      </c>
      <c r="G18" s="132">
        <v>0.1666</v>
      </c>
      <c r="H18" s="132">
        <v>0.1666</v>
      </c>
      <c r="I18" s="132">
        <v>0.83299999999999996</v>
      </c>
    </row>
    <row r="19" spans="1:25" x14ac:dyDescent="0.35">
      <c r="D19" s="132">
        <v>0.1071</v>
      </c>
      <c r="E19" s="132">
        <v>0.1913</v>
      </c>
      <c r="F19" s="132">
        <v>0.15029999999999999</v>
      </c>
      <c r="G19" s="132">
        <v>0.1225</v>
      </c>
      <c r="H19" s="132">
        <v>0.1225</v>
      </c>
      <c r="I19" s="132">
        <v>0.1225</v>
      </c>
      <c r="J19" s="132">
        <v>0.1225</v>
      </c>
      <c r="K19" s="132">
        <v>6.13E-2</v>
      </c>
    </row>
    <row r="20" spans="1:25" x14ac:dyDescent="0.35">
      <c r="D20" s="157">
        <f>1/39.5</f>
        <v>2.5316455696202531E-2</v>
      </c>
      <c r="E20" s="157">
        <f t="shared" ref="E20:W20" si="0">1/39.5</f>
        <v>2.5316455696202531E-2</v>
      </c>
      <c r="F20" s="157">
        <f t="shared" si="0"/>
        <v>2.5316455696202531E-2</v>
      </c>
      <c r="G20" s="157">
        <f t="shared" si="0"/>
        <v>2.5316455696202531E-2</v>
      </c>
      <c r="H20" s="157">
        <f t="shared" si="0"/>
        <v>2.5316455696202531E-2</v>
      </c>
      <c r="I20" s="157">
        <f t="shared" si="0"/>
        <v>2.5316455696202531E-2</v>
      </c>
      <c r="J20" s="157">
        <f t="shared" si="0"/>
        <v>2.5316455696202531E-2</v>
      </c>
      <c r="K20" s="157">
        <f t="shared" si="0"/>
        <v>2.5316455696202531E-2</v>
      </c>
      <c r="L20" s="157">
        <f t="shared" si="0"/>
        <v>2.5316455696202531E-2</v>
      </c>
      <c r="M20" s="157">
        <f t="shared" si="0"/>
        <v>2.5316455696202531E-2</v>
      </c>
      <c r="N20" s="157">
        <f t="shared" si="0"/>
        <v>2.5316455696202531E-2</v>
      </c>
      <c r="O20" s="157">
        <f t="shared" si="0"/>
        <v>2.5316455696202531E-2</v>
      </c>
      <c r="P20" s="157">
        <f t="shared" si="0"/>
        <v>2.5316455696202531E-2</v>
      </c>
      <c r="Q20" s="157">
        <f t="shared" si="0"/>
        <v>2.5316455696202531E-2</v>
      </c>
      <c r="R20" s="157">
        <f t="shared" si="0"/>
        <v>2.5316455696202531E-2</v>
      </c>
      <c r="S20" s="157">
        <f t="shared" si="0"/>
        <v>2.5316455696202531E-2</v>
      </c>
      <c r="T20" s="157">
        <f t="shared" si="0"/>
        <v>2.5316455696202531E-2</v>
      </c>
      <c r="U20" s="157">
        <f t="shared" si="0"/>
        <v>2.5316455696202531E-2</v>
      </c>
      <c r="V20" s="157">
        <f t="shared" si="0"/>
        <v>2.5316455696202531E-2</v>
      </c>
      <c r="W20" s="157">
        <f t="shared" si="0"/>
        <v>2.5316455696202531E-2</v>
      </c>
    </row>
    <row r="22" spans="1:25" x14ac:dyDescent="0.35">
      <c r="A22" s="158"/>
      <c r="B22" s="159" t="s">
        <v>149</v>
      </c>
      <c r="C22" s="159">
        <v>0</v>
      </c>
      <c r="D22" s="159">
        <f t="shared" ref="D22:V22" si="1">C22+1</f>
        <v>1</v>
      </c>
      <c r="E22" s="159">
        <f t="shared" si="1"/>
        <v>2</v>
      </c>
      <c r="F22" s="159">
        <f t="shared" si="1"/>
        <v>3</v>
      </c>
      <c r="G22" s="159">
        <f t="shared" si="1"/>
        <v>4</v>
      </c>
      <c r="H22" s="159">
        <f t="shared" si="1"/>
        <v>5</v>
      </c>
      <c r="I22" s="159">
        <f t="shared" si="1"/>
        <v>6</v>
      </c>
      <c r="J22" s="159">
        <f t="shared" si="1"/>
        <v>7</v>
      </c>
      <c r="K22" s="159">
        <f t="shared" si="1"/>
        <v>8</v>
      </c>
      <c r="L22" s="159">
        <f t="shared" si="1"/>
        <v>9</v>
      </c>
      <c r="M22" s="159">
        <f t="shared" si="1"/>
        <v>10</v>
      </c>
      <c r="N22" s="159">
        <f t="shared" si="1"/>
        <v>11</v>
      </c>
      <c r="O22" s="159">
        <f t="shared" si="1"/>
        <v>12</v>
      </c>
      <c r="P22" s="159">
        <f t="shared" si="1"/>
        <v>13</v>
      </c>
      <c r="Q22" s="159">
        <f t="shared" si="1"/>
        <v>14</v>
      </c>
      <c r="R22" s="159">
        <f t="shared" si="1"/>
        <v>15</v>
      </c>
      <c r="S22" s="159">
        <f t="shared" si="1"/>
        <v>16</v>
      </c>
      <c r="T22" s="159">
        <f t="shared" si="1"/>
        <v>17</v>
      </c>
      <c r="U22" s="159">
        <f t="shared" si="1"/>
        <v>18</v>
      </c>
      <c r="V22" s="159">
        <f t="shared" si="1"/>
        <v>19</v>
      </c>
      <c r="W22" s="159">
        <v>20</v>
      </c>
    </row>
    <row r="23" spans="1:25" x14ac:dyDescent="0.35">
      <c r="A23" s="132" t="s">
        <v>150</v>
      </c>
      <c r="D23" s="179">
        <v>0.5</v>
      </c>
      <c r="E23" s="179">
        <v>0.75</v>
      </c>
      <c r="F23" s="179">
        <v>0.9</v>
      </c>
      <c r="G23" s="179">
        <v>0.9</v>
      </c>
      <c r="H23" s="179">
        <v>0.9</v>
      </c>
      <c r="I23" s="179">
        <v>0.9</v>
      </c>
      <c r="J23" s="179">
        <v>0.9</v>
      </c>
      <c r="K23" s="179">
        <v>0.9</v>
      </c>
      <c r="L23" s="179">
        <v>0.9</v>
      </c>
      <c r="M23" s="179">
        <v>0.9</v>
      </c>
      <c r="N23" s="179">
        <v>0.9</v>
      </c>
      <c r="O23" s="179">
        <v>0.9</v>
      </c>
      <c r="P23" s="179">
        <v>0.9</v>
      </c>
      <c r="Q23" s="179">
        <v>0.9</v>
      </c>
      <c r="R23" s="179">
        <v>0.9</v>
      </c>
      <c r="S23" s="179">
        <v>0.9</v>
      </c>
      <c r="T23" s="179">
        <v>0.9</v>
      </c>
      <c r="U23" s="179">
        <v>0.9</v>
      </c>
      <c r="V23" s="179">
        <v>0.9</v>
      </c>
      <c r="W23" s="179">
        <v>0.9</v>
      </c>
    </row>
    <row r="24" spans="1:25" x14ac:dyDescent="0.35">
      <c r="A24" s="132" t="s">
        <v>129</v>
      </c>
      <c r="B24" s="134"/>
      <c r="D24" s="160">
        <f>+(G5*G4+H4*H5)*D23</f>
        <v>629375</v>
      </c>
      <c r="E24" s="160">
        <f>+(($G$4*$G$5+$H$4*$H$5)*(1+$C$10)^D22)*E23</f>
        <v>962943.75</v>
      </c>
      <c r="F24" s="160">
        <f t="shared" ref="F24:W24" si="2">+(($G$4*$G$5+$H$4*$H$5)*(1+$C$10)^E22)*F23</f>
        <v>1178643.1500000001</v>
      </c>
      <c r="G24" s="160">
        <f t="shared" si="2"/>
        <v>1202216.0129999998</v>
      </c>
      <c r="H24" s="160">
        <f t="shared" si="2"/>
        <v>1226260.33326</v>
      </c>
      <c r="I24" s="160">
        <f t="shared" si="2"/>
        <v>1250785.5399252002</v>
      </c>
      <c r="J24" s="160">
        <f t="shared" si="2"/>
        <v>1275801.250723704</v>
      </c>
      <c r="K24" s="160">
        <f t="shared" si="2"/>
        <v>1301317.2757381778</v>
      </c>
      <c r="L24" s="160">
        <f t="shared" si="2"/>
        <v>1327343.6212529417</v>
      </c>
      <c r="M24" s="160">
        <f t="shared" si="2"/>
        <v>1353890.4936780005</v>
      </c>
      <c r="N24" s="160">
        <f t="shared" si="2"/>
        <v>1380968.3035515605</v>
      </c>
      <c r="O24" s="160">
        <f t="shared" si="2"/>
        <v>1408587.6696225915</v>
      </c>
      <c r="P24" s="160">
        <f t="shared" si="2"/>
        <v>1436759.4230150436</v>
      </c>
      <c r="Q24" s="160">
        <f t="shared" si="2"/>
        <v>1465494.6114753443</v>
      </c>
      <c r="R24" s="160">
        <f t="shared" si="2"/>
        <v>1494804.5037048515</v>
      </c>
      <c r="S24" s="160">
        <f t="shared" si="2"/>
        <v>1524700.5937789478</v>
      </c>
      <c r="T24" s="160">
        <f t="shared" si="2"/>
        <v>1555194.605654527</v>
      </c>
      <c r="U24" s="160">
        <f t="shared" si="2"/>
        <v>1586298.4977676179</v>
      </c>
      <c r="V24" s="160">
        <f t="shared" si="2"/>
        <v>1618024.4677229701</v>
      </c>
      <c r="W24" s="160">
        <f t="shared" si="2"/>
        <v>1650384.9570774292</v>
      </c>
    </row>
    <row r="25" spans="1:25" x14ac:dyDescent="0.35">
      <c r="A25" s="132" t="s">
        <v>151</v>
      </c>
      <c r="B25" s="143"/>
      <c r="D25" s="160"/>
      <c r="E25" s="160"/>
      <c r="F25" s="160"/>
      <c r="G25" s="160"/>
      <c r="H25" s="160"/>
      <c r="I25" s="160"/>
      <c r="J25" s="160"/>
      <c r="K25" s="160"/>
      <c r="L25" s="160"/>
      <c r="M25" s="160"/>
      <c r="N25" s="160"/>
      <c r="O25" s="160"/>
      <c r="P25" s="160"/>
      <c r="Q25" s="160"/>
      <c r="R25" s="160"/>
      <c r="S25" s="160"/>
      <c r="T25" s="160"/>
      <c r="U25" s="160"/>
      <c r="V25" s="160"/>
      <c r="W25" s="160">
        <f>C7</f>
        <v>612151.89873417723</v>
      </c>
    </row>
    <row r="26" spans="1:25" ht="16" thickBot="1" x14ac:dyDescent="0.4">
      <c r="A26" s="132" t="s">
        <v>152</v>
      </c>
      <c r="C26" s="161"/>
      <c r="D26" s="162">
        <f t="shared" ref="D26:W26" si="3">D24+D25</f>
        <v>629375</v>
      </c>
      <c r="E26" s="162">
        <f t="shared" si="3"/>
        <v>962943.75</v>
      </c>
      <c r="F26" s="162">
        <f t="shared" si="3"/>
        <v>1178643.1500000001</v>
      </c>
      <c r="G26" s="162">
        <f t="shared" si="3"/>
        <v>1202216.0129999998</v>
      </c>
      <c r="H26" s="162">
        <f t="shared" si="3"/>
        <v>1226260.33326</v>
      </c>
      <c r="I26" s="162">
        <f t="shared" si="3"/>
        <v>1250785.5399252002</v>
      </c>
      <c r="J26" s="162">
        <f t="shared" si="3"/>
        <v>1275801.250723704</v>
      </c>
      <c r="K26" s="162">
        <f t="shared" si="3"/>
        <v>1301317.2757381778</v>
      </c>
      <c r="L26" s="162">
        <f t="shared" si="3"/>
        <v>1327343.6212529417</v>
      </c>
      <c r="M26" s="162">
        <f t="shared" si="3"/>
        <v>1353890.4936780005</v>
      </c>
      <c r="N26" s="162">
        <f t="shared" si="3"/>
        <v>1380968.3035515605</v>
      </c>
      <c r="O26" s="162">
        <f t="shared" si="3"/>
        <v>1408587.6696225915</v>
      </c>
      <c r="P26" s="162">
        <f t="shared" si="3"/>
        <v>1436759.4230150436</v>
      </c>
      <c r="Q26" s="162">
        <f t="shared" si="3"/>
        <v>1465494.6114753443</v>
      </c>
      <c r="R26" s="162">
        <f t="shared" si="3"/>
        <v>1494804.5037048515</v>
      </c>
      <c r="S26" s="162">
        <f t="shared" si="3"/>
        <v>1524700.5937789478</v>
      </c>
      <c r="T26" s="162">
        <f t="shared" si="3"/>
        <v>1555194.605654527</v>
      </c>
      <c r="U26" s="162">
        <f t="shared" si="3"/>
        <v>1586298.4977676179</v>
      </c>
      <c r="V26" s="162">
        <f t="shared" si="3"/>
        <v>1618024.4677229701</v>
      </c>
      <c r="W26" s="162">
        <f t="shared" si="3"/>
        <v>2262536.8558116062</v>
      </c>
    </row>
    <row r="27" spans="1:25" ht="16" thickTop="1" x14ac:dyDescent="0.35">
      <c r="D27" s="163"/>
      <c r="E27" s="163"/>
      <c r="F27" s="163"/>
      <c r="G27" s="163"/>
      <c r="H27" s="163"/>
      <c r="I27" s="163"/>
      <c r="J27" s="163"/>
      <c r="K27" s="163"/>
      <c r="L27" s="163"/>
      <c r="M27" s="163"/>
      <c r="N27" s="163"/>
      <c r="O27" s="163"/>
      <c r="P27" s="163"/>
      <c r="Q27" s="163"/>
      <c r="R27" s="163"/>
      <c r="S27" s="163"/>
      <c r="T27" s="163"/>
      <c r="U27" s="163"/>
      <c r="V27" s="163"/>
      <c r="W27" s="163"/>
    </row>
    <row r="28" spans="1:25" x14ac:dyDescent="0.35">
      <c r="A28" s="132" t="s">
        <v>153</v>
      </c>
      <c r="C28" s="164">
        <f>C6-(C6*C13)</f>
        <v>727609.99</v>
      </c>
      <c r="D28" s="163"/>
      <c r="E28" s="163"/>
      <c r="F28" s="163"/>
      <c r="G28" s="163"/>
      <c r="H28" s="163"/>
      <c r="I28" s="163"/>
      <c r="J28" s="163"/>
      <c r="K28" s="163"/>
      <c r="L28" s="163"/>
      <c r="M28" s="163"/>
      <c r="N28" s="163"/>
      <c r="O28" s="163"/>
      <c r="P28" s="163"/>
      <c r="Q28" s="163"/>
      <c r="R28" s="163"/>
      <c r="S28" s="163"/>
      <c r="T28" s="163"/>
      <c r="U28" s="163"/>
      <c r="V28" s="163"/>
      <c r="W28" s="163"/>
    </row>
    <row r="29" spans="1:25" x14ac:dyDescent="0.35">
      <c r="A29" s="132" t="s">
        <v>154</v>
      </c>
      <c r="D29" s="160">
        <f>+(($G$4*$G$6+$H$4*$H$6))*D23</f>
        <v>493549.00555555552</v>
      </c>
      <c r="E29" s="160">
        <f>+(($G$4*$G$6+$H$4*$H$6)*(1+$C$10)^D22)*E23</f>
        <v>755129.97849999997</v>
      </c>
      <c r="F29" s="160">
        <f t="shared" ref="F29:W29" si="4">+(($G$4*$G$6+$H$4*$H$6)*(1+$C$10)^E22)*F23</f>
        <v>924279.09368399985</v>
      </c>
      <c r="G29" s="160">
        <f t="shared" si="4"/>
        <v>942764.67555767985</v>
      </c>
      <c r="H29" s="160">
        <f t="shared" si="4"/>
        <v>961619.96906883363</v>
      </c>
      <c r="I29" s="160">
        <f t="shared" si="4"/>
        <v>980852.36845021008</v>
      </c>
      <c r="J29" s="160">
        <f t="shared" si="4"/>
        <v>1000469.4158192145</v>
      </c>
      <c r="K29" s="160">
        <f t="shared" si="4"/>
        <v>1020478.8041355985</v>
      </c>
      <c r="L29" s="160">
        <f t="shared" si="4"/>
        <v>1040888.3802183106</v>
      </c>
      <c r="M29" s="160">
        <f t="shared" si="4"/>
        <v>1061706.1478226769</v>
      </c>
      <c r="N29" s="160">
        <f t="shared" si="4"/>
        <v>1082940.2707791303</v>
      </c>
      <c r="O29" s="160">
        <f t="shared" si="4"/>
        <v>1104599.0761947129</v>
      </c>
      <c r="P29" s="160">
        <f t="shared" si="4"/>
        <v>1126691.0577186071</v>
      </c>
      <c r="Q29" s="160">
        <f t="shared" si="4"/>
        <v>1149224.8788729792</v>
      </c>
      <c r="R29" s="160">
        <f t="shared" si="4"/>
        <v>1172209.376450439</v>
      </c>
      <c r="S29" s="160">
        <f t="shared" si="4"/>
        <v>1195653.5639794476</v>
      </c>
      <c r="T29" s="160">
        <f t="shared" si="4"/>
        <v>1219566.6352590367</v>
      </c>
      <c r="U29" s="160">
        <f t="shared" si="4"/>
        <v>1243957.9679642175</v>
      </c>
      <c r="V29" s="160">
        <f t="shared" si="4"/>
        <v>1268837.1273235017</v>
      </c>
      <c r="W29" s="160">
        <f t="shared" si="4"/>
        <v>1294213.8698699716</v>
      </c>
      <c r="X29" s="160"/>
      <c r="Y29" s="160"/>
    </row>
    <row r="30" spans="1:25" x14ac:dyDescent="0.35">
      <c r="A30" s="132" t="s">
        <v>155</v>
      </c>
      <c r="D30" s="160">
        <f>G7+G8</f>
        <v>90052.934849999991</v>
      </c>
      <c r="E30" s="160">
        <f>D30*(1+$C$11)</f>
        <v>91853.993546999991</v>
      </c>
      <c r="F30" s="160">
        <f t="shared" ref="F30:W30" si="5">E30*(1+$C$11)</f>
        <v>93691.073417939988</v>
      </c>
      <c r="G30" s="160">
        <f t="shared" si="5"/>
        <v>95564.894886298789</v>
      </c>
      <c r="H30" s="160">
        <f t="shared" si="5"/>
        <v>97476.192784024766</v>
      </c>
      <c r="I30" s="160">
        <f t="shared" si="5"/>
        <v>99425.716639705264</v>
      </c>
      <c r="J30" s="160">
        <f t="shared" si="5"/>
        <v>101414.23097249937</v>
      </c>
      <c r="K30" s="160">
        <f t="shared" si="5"/>
        <v>103442.51559194936</v>
      </c>
      <c r="L30" s="160">
        <f t="shared" si="5"/>
        <v>105511.36590378835</v>
      </c>
      <c r="M30" s="160">
        <f t="shared" si="5"/>
        <v>107621.59322186411</v>
      </c>
      <c r="N30" s="160">
        <f t="shared" si="5"/>
        <v>109774.02508630139</v>
      </c>
      <c r="O30" s="160">
        <f t="shared" si="5"/>
        <v>111969.50558802743</v>
      </c>
      <c r="P30" s="160">
        <f t="shared" si="5"/>
        <v>114208.89569978799</v>
      </c>
      <c r="Q30" s="160">
        <f t="shared" si="5"/>
        <v>116493.07361378375</v>
      </c>
      <c r="R30" s="160">
        <f t="shared" si="5"/>
        <v>118822.93508605943</v>
      </c>
      <c r="S30" s="160">
        <f t="shared" si="5"/>
        <v>121199.39378778062</v>
      </c>
      <c r="T30" s="160">
        <f t="shared" si="5"/>
        <v>123623.38166353623</v>
      </c>
      <c r="U30" s="160">
        <f t="shared" si="5"/>
        <v>126095.84929680696</v>
      </c>
      <c r="V30" s="160">
        <f t="shared" si="5"/>
        <v>128617.7662827431</v>
      </c>
      <c r="W30" s="160">
        <f t="shared" si="5"/>
        <v>131190.12160839798</v>
      </c>
    </row>
    <row r="31" spans="1:25" x14ac:dyDescent="0.35">
      <c r="A31" s="132" t="s">
        <v>43</v>
      </c>
      <c r="B31" s="143"/>
      <c r="D31" s="160">
        <f t="shared" ref="D31:M31" si="6">+$F$12*D18+$F$13*D19+$F$14*D20</f>
        <v>55729.464921291132</v>
      </c>
      <c r="E31" s="160">
        <f t="shared" si="6"/>
        <v>74474.987237291134</v>
      </c>
      <c r="F31" s="160">
        <f t="shared" si="6"/>
        <v>64585.968057291131</v>
      </c>
      <c r="G31" s="160">
        <f t="shared" si="6"/>
        <v>59079.852613291136</v>
      </c>
      <c r="H31" s="160">
        <f t="shared" si="6"/>
        <v>59079.852613291136</v>
      </c>
      <c r="I31" s="160">
        <f t="shared" si="6"/>
        <v>79071.852613291136</v>
      </c>
      <c r="J31" s="160">
        <f t="shared" si="6"/>
        <v>54081.852613291136</v>
      </c>
      <c r="K31" s="160">
        <f t="shared" si="6"/>
        <v>42746.389837291135</v>
      </c>
      <c r="L31" s="160">
        <f t="shared" si="6"/>
        <v>31392.405063291139</v>
      </c>
      <c r="M31" s="160">
        <f t="shared" si="6"/>
        <v>31392.405063291139</v>
      </c>
      <c r="N31" s="160">
        <f t="shared" ref="N31:W31" si="7">+$F$12*N18+$F$13*N19+$F$14*N20+$G$10*D19</f>
        <v>52518.699663569467</v>
      </c>
      <c r="O31" s="160">
        <f t="shared" si="7"/>
        <v>69127.794017849898</v>
      </c>
      <c r="P31" s="160">
        <f t="shared" si="7"/>
        <v>61040.230258639713</v>
      </c>
      <c r="Q31" s="160">
        <f t="shared" si="7"/>
        <v>55556.46751458988</v>
      </c>
      <c r="R31" s="160">
        <f t="shared" si="7"/>
        <v>55556.46751458988</v>
      </c>
      <c r="S31" s="160">
        <f t="shared" si="7"/>
        <v>55556.46751458988</v>
      </c>
      <c r="T31" s="160">
        <f t="shared" si="7"/>
        <v>55556.46751458988</v>
      </c>
      <c r="U31" s="160">
        <f t="shared" si="7"/>
        <v>43484.299171573693</v>
      </c>
      <c r="V31" s="160">
        <f t="shared" si="7"/>
        <v>31392.405063291139</v>
      </c>
      <c r="W31" s="160">
        <f t="shared" si="7"/>
        <v>31392.405063291139</v>
      </c>
    </row>
    <row r="32" spans="1:25" x14ac:dyDescent="0.35">
      <c r="A32" s="132" t="s">
        <v>78</v>
      </c>
      <c r="B32" s="134"/>
      <c r="D32" s="160">
        <f>IF(D22&lt;=$C$17,-IPMT($C$14,D22,$C$17,$C$6*$C$13,0),0)</f>
        <v>36380.499499999998</v>
      </c>
      <c r="E32" s="160">
        <f t="shared" ref="E32:W32" si="8">IF(E22&lt;=$C$17,-IPMT($C$14,E22,$C$17,$C$6*$C$13,0),0)</f>
        <v>34694.543928803032</v>
      </c>
      <c r="F32" s="160">
        <f t="shared" si="8"/>
        <v>32924.29057904621</v>
      </c>
      <c r="G32" s="160">
        <f t="shared" si="8"/>
        <v>31065.524561801543</v>
      </c>
      <c r="H32" s="160">
        <f t="shared" si="8"/>
        <v>29113.820243694659</v>
      </c>
      <c r="I32" s="160">
        <f t="shared" si="8"/>
        <v>27064.530709682425</v>
      </c>
      <c r="J32" s="160">
        <f t="shared" si="8"/>
        <v>24912.776698969566</v>
      </c>
      <c r="K32" s="160">
        <f t="shared" si="8"/>
        <v>22653.434987721077</v>
      </c>
      <c r="L32" s="160">
        <f t="shared" si="8"/>
        <v>20281.126190910159</v>
      </c>
      <c r="M32" s="160">
        <f t="shared" si="8"/>
        <v>17790.20195425869</v>
      </c>
      <c r="N32" s="160">
        <f t="shared" si="8"/>
        <v>15174.731505774655</v>
      </c>
      <c r="O32" s="160">
        <f t="shared" si="8"/>
        <v>12428.487534866415</v>
      </c>
      <c r="P32" s="160">
        <f t="shared" si="8"/>
        <v>9544.9313654127654</v>
      </c>
      <c r="Q32" s="160">
        <f t="shared" si="8"/>
        <v>6517.1973874864325</v>
      </c>
      <c r="R32" s="160">
        <f t="shared" si="8"/>
        <v>3338.0767106637827</v>
      </c>
      <c r="S32" s="160">
        <f t="shared" si="8"/>
        <v>0</v>
      </c>
      <c r="T32" s="160">
        <f t="shared" si="8"/>
        <v>0</v>
      </c>
      <c r="U32" s="160">
        <f t="shared" si="8"/>
        <v>0</v>
      </c>
      <c r="V32" s="160">
        <f t="shared" si="8"/>
        <v>0</v>
      </c>
      <c r="W32" s="160">
        <f t="shared" si="8"/>
        <v>0</v>
      </c>
    </row>
    <row r="33" spans="1:24" x14ac:dyDescent="0.35">
      <c r="A33" s="132" t="s">
        <v>156</v>
      </c>
      <c r="D33" s="160">
        <f t="shared" ref="D33:W33" si="9">IF(D22&lt;=$C$17,+$G9-D32,0)</f>
        <v>33719.11142393943</v>
      </c>
      <c r="E33" s="160">
        <f t="shared" si="9"/>
        <v>35405.066995136396</v>
      </c>
      <c r="F33" s="160">
        <f t="shared" si="9"/>
        <v>37175.320344893218</v>
      </c>
      <c r="G33" s="160">
        <f t="shared" si="9"/>
        <v>39034.086362137881</v>
      </c>
      <c r="H33" s="160">
        <f t="shared" si="9"/>
        <v>40985.790680244769</v>
      </c>
      <c r="I33" s="160">
        <f t="shared" si="9"/>
        <v>43035.080214257003</v>
      </c>
      <c r="J33" s="160">
        <f t="shared" si="9"/>
        <v>45186.834224969862</v>
      </c>
      <c r="K33" s="160">
        <f t="shared" si="9"/>
        <v>47446.175936218351</v>
      </c>
      <c r="L33" s="160">
        <f t="shared" si="9"/>
        <v>49818.484733029269</v>
      </c>
      <c r="M33" s="160">
        <f t="shared" si="9"/>
        <v>52309.408969680735</v>
      </c>
      <c r="N33" s="160">
        <f t="shared" si="9"/>
        <v>54924.879418164775</v>
      </c>
      <c r="O33" s="160">
        <f t="shared" si="9"/>
        <v>57671.123389073015</v>
      </c>
      <c r="P33" s="160">
        <f t="shared" si="9"/>
        <v>60554.679558526666</v>
      </c>
      <c r="Q33" s="160">
        <f t="shared" si="9"/>
        <v>63582.413536452994</v>
      </c>
      <c r="R33" s="160">
        <f t="shared" si="9"/>
        <v>66761.534213275649</v>
      </c>
      <c r="S33" s="160">
        <f t="shared" si="9"/>
        <v>0</v>
      </c>
      <c r="T33" s="160">
        <f t="shared" si="9"/>
        <v>0</v>
      </c>
      <c r="U33" s="160">
        <f t="shared" si="9"/>
        <v>0</v>
      </c>
      <c r="V33" s="160">
        <f t="shared" si="9"/>
        <v>0</v>
      </c>
      <c r="W33" s="160">
        <f t="shared" si="9"/>
        <v>0</v>
      </c>
    </row>
    <row r="34" spans="1:24" x14ac:dyDescent="0.35">
      <c r="A34" s="134" t="s">
        <v>157</v>
      </c>
      <c r="D34" s="163"/>
      <c r="E34" s="163"/>
      <c r="F34" s="163"/>
      <c r="G34" s="163"/>
      <c r="H34" s="163"/>
      <c r="I34" s="163"/>
      <c r="J34" s="163"/>
      <c r="K34" s="163"/>
      <c r="L34" s="163"/>
      <c r="M34" s="160">
        <f>G10</f>
        <v>197257.65266366318</v>
      </c>
      <c r="N34" s="163"/>
      <c r="O34" s="163"/>
      <c r="P34" s="163"/>
      <c r="Q34" s="163"/>
      <c r="R34" s="163"/>
      <c r="S34" s="163"/>
      <c r="T34" s="163"/>
      <c r="U34" s="163"/>
      <c r="V34" s="163"/>
      <c r="W34" s="160">
        <f>+C8</f>
        <v>0</v>
      </c>
      <c r="X34" s="165"/>
    </row>
    <row r="35" spans="1:24" x14ac:dyDescent="0.35">
      <c r="A35" s="132" t="s">
        <v>158</v>
      </c>
      <c r="D35" s="160">
        <f>D26-D29-D30-D31-D32</f>
        <v>-46336.904826846636</v>
      </c>
      <c r="E35" s="160">
        <f t="shared" ref="E35:V35" si="10">E26-E29-E30-E31-E32</f>
        <v>6790.2467869058746</v>
      </c>
      <c r="F35" s="160">
        <f t="shared" si="10"/>
        <v>63162.724261722949</v>
      </c>
      <c r="G35" s="160">
        <f t="shared" si="10"/>
        <v>73741.06538092847</v>
      </c>
      <c r="H35" s="160">
        <f t="shared" si="10"/>
        <v>78970.498550155811</v>
      </c>
      <c r="I35" s="160">
        <f t="shared" si="10"/>
        <v>64371.07151231126</v>
      </c>
      <c r="J35" s="160">
        <f t="shared" si="10"/>
        <v>94922.974619729401</v>
      </c>
      <c r="K35" s="160">
        <f t="shared" si="10"/>
        <v>111996.13118561778</v>
      </c>
      <c r="L35" s="160">
        <f t="shared" si="10"/>
        <v>129270.34387664137</v>
      </c>
      <c r="M35" s="160">
        <f t="shared" si="10"/>
        <v>135380.14561590966</v>
      </c>
      <c r="N35" s="160">
        <f t="shared" si="10"/>
        <v>120560.57651678473</v>
      </c>
      <c r="O35" s="160">
        <f t="shared" si="10"/>
        <v>110462.80628713484</v>
      </c>
      <c r="P35" s="160">
        <f t="shared" si="10"/>
        <v>125274.30797259598</v>
      </c>
      <c r="Q35" s="160">
        <f t="shared" si="10"/>
        <v>137702.994086505</v>
      </c>
      <c r="R35" s="160">
        <f t="shared" si="10"/>
        <v>144877.64794309938</v>
      </c>
      <c r="S35" s="160">
        <f t="shared" si="10"/>
        <v>152291.16849712975</v>
      </c>
      <c r="T35" s="160">
        <f t="shared" si="10"/>
        <v>156448.12121736415</v>
      </c>
      <c r="U35" s="160">
        <f t="shared" si="10"/>
        <v>172760.38133501975</v>
      </c>
      <c r="V35" s="160">
        <f t="shared" si="10"/>
        <v>189177.16905343407</v>
      </c>
      <c r="W35" s="160">
        <f>W26-(C6-SUM(D31:W31))-W29-W30-W31-W32</f>
        <v>413337.21319943119</v>
      </c>
    </row>
    <row r="36" spans="1:24" x14ac:dyDescent="0.35">
      <c r="A36" s="132" t="s">
        <v>159</v>
      </c>
      <c r="D36" s="160">
        <f t="shared" ref="D36:W36" si="11">D35*$C$12</f>
        <v>-16217.916689396321</v>
      </c>
      <c r="E36" s="160">
        <f t="shared" si="11"/>
        <v>2376.5863754170559</v>
      </c>
      <c r="F36" s="160">
        <f t="shared" si="11"/>
        <v>22106.953491603032</v>
      </c>
      <c r="G36" s="160">
        <f t="shared" si="11"/>
        <v>25809.372883324962</v>
      </c>
      <c r="H36" s="160">
        <f t="shared" si="11"/>
        <v>27639.674492554532</v>
      </c>
      <c r="I36" s="160">
        <f t="shared" si="11"/>
        <v>22529.87502930894</v>
      </c>
      <c r="J36" s="160">
        <f t="shared" si="11"/>
        <v>33223.04111690529</v>
      </c>
      <c r="K36" s="160">
        <f t="shared" si="11"/>
        <v>39198.645914966219</v>
      </c>
      <c r="L36" s="160">
        <f t="shared" si="11"/>
        <v>45244.620356824482</v>
      </c>
      <c r="M36" s="160">
        <f t="shared" si="11"/>
        <v>47383.050965568378</v>
      </c>
      <c r="N36" s="160">
        <f t="shared" si="11"/>
        <v>42196.201780874653</v>
      </c>
      <c r="O36" s="160">
        <f t="shared" si="11"/>
        <v>38661.982200497194</v>
      </c>
      <c r="P36" s="160">
        <f t="shared" si="11"/>
        <v>43846.007790408592</v>
      </c>
      <c r="Q36" s="160">
        <f t="shared" si="11"/>
        <v>48196.047930276749</v>
      </c>
      <c r="R36" s="160">
        <f t="shared" si="11"/>
        <v>50707.176780084781</v>
      </c>
      <c r="S36" s="160">
        <f t="shared" si="11"/>
        <v>53301.908973995407</v>
      </c>
      <c r="T36" s="160">
        <f t="shared" si="11"/>
        <v>54756.842426077448</v>
      </c>
      <c r="U36" s="160">
        <f t="shared" si="11"/>
        <v>60466.133467256906</v>
      </c>
      <c r="V36" s="160">
        <f t="shared" si="11"/>
        <v>66212.009168701916</v>
      </c>
      <c r="W36" s="160">
        <f t="shared" si="11"/>
        <v>144668.02461980091</v>
      </c>
    </row>
    <row r="37" spans="1:24" x14ac:dyDescent="0.35">
      <c r="A37" s="132" t="s">
        <v>160</v>
      </c>
      <c r="C37" s="166"/>
      <c r="D37" s="167">
        <f>D29+D30+D32+D33+D36</f>
        <v>637483.63464009867</v>
      </c>
      <c r="E37" s="167">
        <f t="shared" ref="E37:Q37" si="12">E29+E30+E32+E33+E36</f>
        <v>919460.16934635653</v>
      </c>
      <c r="F37" s="167">
        <f t="shared" si="12"/>
        <v>1110176.7315174823</v>
      </c>
      <c r="G37" s="167">
        <f t="shared" si="12"/>
        <v>1134238.5542512431</v>
      </c>
      <c r="H37" s="167">
        <f t="shared" si="12"/>
        <v>1156835.4472693524</v>
      </c>
      <c r="I37" s="167">
        <f t="shared" si="12"/>
        <v>1172907.5710431638</v>
      </c>
      <c r="J37" s="167">
        <f t="shared" si="12"/>
        <v>1205206.2988325588</v>
      </c>
      <c r="K37" s="167">
        <f t="shared" si="12"/>
        <v>1233219.5765664536</v>
      </c>
      <c r="L37" s="167">
        <f t="shared" si="12"/>
        <v>1261743.9774028629</v>
      </c>
      <c r="M37" s="167">
        <f>M29+M30+M32+M33+M36+M34</f>
        <v>1484068.0555977121</v>
      </c>
      <c r="N37" s="167">
        <f t="shared" si="12"/>
        <v>1305010.1085702458</v>
      </c>
      <c r="O37" s="167">
        <f t="shared" si="12"/>
        <v>1325330.174907177</v>
      </c>
      <c r="P37" s="167">
        <f t="shared" si="12"/>
        <v>1354845.572132743</v>
      </c>
      <c r="Q37" s="168">
        <f t="shared" si="12"/>
        <v>1384013.6113409791</v>
      </c>
      <c r="R37" s="168">
        <f>R29+R30+R32+R33+R36</f>
        <v>1411839.0992405226</v>
      </c>
      <c r="S37" s="168">
        <f>S29+S30+S32+S33+S36</f>
        <v>1370154.8667412235</v>
      </c>
      <c r="T37" s="168">
        <f>T29+T30+T32+T33+T36</f>
        <v>1397946.8593486503</v>
      </c>
      <c r="U37" s="168">
        <f>U29+U30+U32+U33+U36</f>
        <v>1430519.9507282814</v>
      </c>
      <c r="V37" s="168">
        <f>V29+V30+V32+V33+V36+V34</f>
        <v>1463666.9027749468</v>
      </c>
      <c r="W37" s="168">
        <f>W29+W30+W32+W33+W34+W36</f>
        <v>1570072.0160981705</v>
      </c>
    </row>
    <row r="38" spans="1:24" ht="16" thickBot="1" x14ac:dyDescent="0.4">
      <c r="A38" s="132" t="s">
        <v>161</v>
      </c>
      <c r="C38" s="161">
        <f>-C28</f>
        <v>-727609.99</v>
      </c>
      <c r="D38" s="169">
        <f t="shared" ref="D38:W38" si="13">D26-D37</f>
        <v>-8108.6346400986658</v>
      </c>
      <c r="E38" s="169">
        <f t="shared" si="13"/>
        <v>43483.580653643468</v>
      </c>
      <c r="F38" s="169">
        <f t="shared" si="13"/>
        <v>68466.418482517824</v>
      </c>
      <c r="G38" s="162">
        <f t="shared" si="13"/>
        <v>67977.458748756675</v>
      </c>
      <c r="H38" s="162">
        <f t="shared" si="13"/>
        <v>69424.885990647599</v>
      </c>
      <c r="I38" s="162">
        <f t="shared" si="13"/>
        <v>77877.968882036395</v>
      </c>
      <c r="J38" s="162">
        <f t="shared" si="13"/>
        <v>70594.951891145203</v>
      </c>
      <c r="K38" s="162">
        <f t="shared" si="13"/>
        <v>68097.699171724264</v>
      </c>
      <c r="L38" s="162">
        <f t="shared" si="13"/>
        <v>65599.643850078806</v>
      </c>
      <c r="M38" s="162">
        <f t="shared" si="13"/>
        <v>-130177.56191971153</v>
      </c>
      <c r="N38" s="162">
        <f t="shared" si="13"/>
        <v>75958.194981314708</v>
      </c>
      <c r="O38" s="162">
        <f t="shared" si="13"/>
        <v>83257.494715414476</v>
      </c>
      <c r="P38" s="162">
        <f t="shared" si="13"/>
        <v>81913.850882300641</v>
      </c>
      <c r="Q38" s="162">
        <f t="shared" si="13"/>
        <v>81481.000134365167</v>
      </c>
      <c r="R38" s="162">
        <f t="shared" si="13"/>
        <v>82965.404464328894</v>
      </c>
      <c r="S38" s="162">
        <f t="shared" si="13"/>
        <v>154545.72703772434</v>
      </c>
      <c r="T38" s="162">
        <f t="shared" si="13"/>
        <v>157247.74630587664</v>
      </c>
      <c r="U38" s="162">
        <f t="shared" si="13"/>
        <v>155778.54703933652</v>
      </c>
      <c r="V38" s="162">
        <f t="shared" si="13"/>
        <v>154357.5649480233</v>
      </c>
      <c r="W38" s="162">
        <f t="shared" si="13"/>
        <v>692464.83971343562</v>
      </c>
    </row>
    <row r="39" spans="1:24" ht="16" thickTop="1" x14ac:dyDescent="0.35">
      <c r="D39" s="163"/>
      <c r="E39" s="163"/>
      <c r="F39" s="163"/>
      <c r="G39" s="163"/>
      <c r="H39" s="163"/>
      <c r="I39" s="163"/>
      <c r="J39" s="163"/>
      <c r="K39" s="163"/>
      <c r="L39" s="163"/>
      <c r="M39" s="163"/>
      <c r="N39" s="163"/>
      <c r="O39" s="163"/>
      <c r="P39" s="163"/>
      <c r="Q39" s="163"/>
      <c r="R39" s="163"/>
      <c r="S39" s="163"/>
      <c r="T39" s="163"/>
      <c r="U39" s="163"/>
      <c r="V39" s="163"/>
      <c r="W39" s="163"/>
    </row>
    <row r="40" spans="1:24" x14ac:dyDescent="0.35">
      <c r="A40" s="132" t="s">
        <v>162</v>
      </c>
      <c r="B40" s="143"/>
      <c r="C40" s="164">
        <f>C6*C13</f>
        <v>727609.99</v>
      </c>
      <c r="D40" s="164">
        <f t="shared" ref="D40:Q40" si="14">C40-D33</f>
        <v>693890.87857606052</v>
      </c>
      <c r="E40" s="164">
        <f t="shared" si="14"/>
        <v>658485.81158092408</v>
      </c>
      <c r="F40" s="164">
        <f t="shared" si="14"/>
        <v>621310.49123603082</v>
      </c>
      <c r="G40" s="164">
        <f t="shared" si="14"/>
        <v>582276.4048738929</v>
      </c>
      <c r="H40" s="164">
        <f t="shared" si="14"/>
        <v>541290.6141936481</v>
      </c>
      <c r="I40" s="164">
        <f t="shared" si="14"/>
        <v>498255.5339793911</v>
      </c>
      <c r="J40" s="164">
        <f t="shared" si="14"/>
        <v>453068.69975442125</v>
      </c>
      <c r="K40" s="164">
        <f t="shared" si="14"/>
        <v>405622.5238182029</v>
      </c>
      <c r="L40" s="164">
        <f t="shared" si="14"/>
        <v>355804.03908517363</v>
      </c>
      <c r="M40" s="164">
        <f t="shared" si="14"/>
        <v>303494.63011549291</v>
      </c>
      <c r="N40" s="164">
        <f t="shared" si="14"/>
        <v>248569.75069732813</v>
      </c>
      <c r="O40" s="164">
        <f t="shared" si="14"/>
        <v>190898.62730825512</v>
      </c>
      <c r="P40" s="164">
        <f t="shared" si="14"/>
        <v>130343.94774972845</v>
      </c>
      <c r="Q40" s="164">
        <f t="shared" si="14"/>
        <v>66761.534213275459</v>
      </c>
      <c r="R40" s="164">
        <f t="shared" ref="R40:W40" si="15">Q40-R33</f>
        <v>-1.8917489796876907E-10</v>
      </c>
      <c r="S40" s="164">
        <f t="shared" si="15"/>
        <v>-1.8917489796876907E-10</v>
      </c>
      <c r="T40" s="164">
        <f t="shared" si="15"/>
        <v>-1.8917489796876907E-10</v>
      </c>
      <c r="U40" s="164">
        <f t="shared" si="15"/>
        <v>-1.8917489796876907E-10</v>
      </c>
      <c r="V40" s="164">
        <f t="shared" si="15"/>
        <v>-1.8917489796876907E-10</v>
      </c>
      <c r="W40" s="164">
        <f t="shared" si="15"/>
        <v>-1.8917489796876907E-10</v>
      </c>
    </row>
    <row r="41" spans="1:24" x14ac:dyDescent="0.35">
      <c r="A41" s="132" t="s">
        <v>163</v>
      </c>
      <c r="C41" s="164">
        <f>+C38</f>
        <v>-727609.99</v>
      </c>
      <c r="D41" s="164">
        <f t="shared" ref="D41:Q41" si="16">+C41+D38</f>
        <v>-735718.62464009866</v>
      </c>
      <c r="E41" s="164">
        <f t="shared" si="16"/>
        <v>-692235.04398645519</v>
      </c>
      <c r="F41" s="164">
        <f t="shared" si="16"/>
        <v>-623768.62550393736</v>
      </c>
      <c r="G41" s="164">
        <f t="shared" si="16"/>
        <v>-555791.16675518069</v>
      </c>
      <c r="H41" s="164">
        <f t="shared" si="16"/>
        <v>-486366.28076453309</v>
      </c>
      <c r="I41" s="164">
        <f t="shared" si="16"/>
        <v>-408488.3118824967</v>
      </c>
      <c r="J41" s="164">
        <f t="shared" si="16"/>
        <v>-337893.35999135149</v>
      </c>
      <c r="K41" s="164">
        <f t="shared" si="16"/>
        <v>-269795.66081962723</v>
      </c>
      <c r="L41" s="164">
        <f t="shared" si="16"/>
        <v>-204196.01696954842</v>
      </c>
      <c r="M41" s="164">
        <f t="shared" si="16"/>
        <v>-334373.57888925995</v>
      </c>
      <c r="N41" s="164">
        <f t="shared" si="16"/>
        <v>-258415.38390794524</v>
      </c>
      <c r="O41" s="164">
        <f t="shared" si="16"/>
        <v>-175157.88919253077</v>
      </c>
      <c r="P41" s="164">
        <f t="shared" si="16"/>
        <v>-93244.038310230128</v>
      </c>
      <c r="Q41" s="164">
        <f t="shared" si="16"/>
        <v>-11763.03817586496</v>
      </c>
      <c r="R41" s="164">
        <f t="shared" ref="R41:W41" si="17">+Q41+R38</f>
        <v>71202.366288463934</v>
      </c>
      <c r="S41" s="164">
        <f t="shared" si="17"/>
        <v>225748.09332618827</v>
      </c>
      <c r="T41" s="164">
        <f t="shared" si="17"/>
        <v>382995.83963206492</v>
      </c>
      <c r="U41" s="164">
        <f t="shared" si="17"/>
        <v>538774.38667140144</v>
      </c>
      <c r="V41" s="164">
        <f t="shared" si="17"/>
        <v>693131.95161942474</v>
      </c>
      <c r="W41" s="164">
        <f t="shared" si="17"/>
        <v>1385596.7913328605</v>
      </c>
    </row>
    <row r="42" spans="1:24" x14ac:dyDescent="0.35">
      <c r="A42" s="134"/>
      <c r="E42" s="163"/>
      <c r="F42" s="163"/>
      <c r="G42" s="163"/>
      <c r="H42" s="163"/>
      <c r="I42" s="163"/>
      <c r="J42" s="163"/>
      <c r="K42" s="163"/>
      <c r="L42" s="163"/>
      <c r="M42" s="163"/>
      <c r="N42" s="163"/>
      <c r="O42" s="163"/>
      <c r="P42" s="163"/>
      <c r="Q42" s="163"/>
      <c r="R42" s="163"/>
      <c r="S42" s="163"/>
      <c r="T42" s="163"/>
      <c r="U42" s="163"/>
      <c r="V42" s="163"/>
      <c r="W42" s="163"/>
      <c r="X42" s="163"/>
    </row>
    <row r="43" spans="1:24" x14ac:dyDescent="0.35">
      <c r="A43" s="134"/>
      <c r="E43" s="163"/>
      <c r="F43" s="163"/>
      <c r="G43" s="163"/>
      <c r="H43" s="163"/>
      <c r="I43" s="163"/>
      <c r="J43" s="163"/>
      <c r="K43" s="163"/>
      <c r="L43" s="163"/>
      <c r="M43" s="163"/>
      <c r="N43" s="163"/>
      <c r="O43" s="163"/>
      <c r="P43" s="163"/>
      <c r="Q43" s="163"/>
      <c r="R43" s="163"/>
      <c r="S43" s="163"/>
      <c r="T43" s="163"/>
      <c r="U43" s="163"/>
      <c r="V43" s="163"/>
      <c r="W43" s="163"/>
      <c r="X43" s="163"/>
    </row>
    <row r="44" spans="1:24" x14ac:dyDescent="0.35">
      <c r="E44" s="163"/>
      <c r="F44" s="163"/>
      <c r="G44" s="163"/>
      <c r="H44" s="163"/>
      <c r="I44" s="163"/>
      <c r="J44" s="163"/>
      <c r="K44" s="163"/>
      <c r="L44" s="163"/>
      <c r="M44" s="163"/>
      <c r="N44" s="163"/>
      <c r="O44" s="163"/>
      <c r="P44" s="163"/>
      <c r="Q44" s="163"/>
      <c r="R44" s="163"/>
      <c r="S44" s="163"/>
      <c r="T44" s="163"/>
      <c r="U44" s="163"/>
      <c r="V44" s="163"/>
      <c r="W44" s="163"/>
      <c r="X44" s="163"/>
    </row>
    <row r="45" spans="1:24" x14ac:dyDescent="0.35">
      <c r="A45" s="134"/>
    </row>
    <row r="46" spans="1:24" x14ac:dyDescent="0.35">
      <c r="A46" s="134"/>
    </row>
    <row r="47" spans="1:24" x14ac:dyDescent="0.35">
      <c r="A47" s="134"/>
      <c r="D47" s="170"/>
    </row>
    <row r="48" spans="1:24" x14ac:dyDescent="0.35">
      <c r="A48" s="134"/>
      <c r="D48" s="170"/>
    </row>
    <row r="49" spans="1:4" x14ac:dyDescent="0.35">
      <c r="A49" s="134"/>
    </row>
    <row r="50" spans="1:4" x14ac:dyDescent="0.35">
      <c r="A50" s="134"/>
      <c r="D50" s="170"/>
    </row>
    <row r="51" spans="1:4" x14ac:dyDescent="0.35">
      <c r="A51" s="134"/>
      <c r="D51" s="170"/>
    </row>
    <row r="52" spans="1:4" x14ac:dyDescent="0.35">
      <c r="A52" s="134"/>
      <c r="D52" s="170"/>
    </row>
    <row r="53" spans="1:4" x14ac:dyDescent="0.35">
      <c r="A53" s="134"/>
      <c r="D53" s="143"/>
    </row>
  </sheetData>
  <pageMargins left="0.34" right="0.4" top="1" bottom="1" header="0.5" footer="0.5"/>
  <pageSetup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6528-29E7-4454-A16E-61770D90C764}">
  <sheetPr>
    <pageSetUpPr fitToPage="1"/>
  </sheetPr>
  <dimension ref="A1:O53"/>
  <sheetViews>
    <sheetView topLeftCell="A6" workbookViewId="0">
      <pane xSplit="2" topLeftCell="C1" activePane="topRight" state="frozen"/>
      <selection activeCell="A50" sqref="A50"/>
      <selection pane="topRight" activeCell="H16" sqref="H16"/>
    </sheetView>
  </sheetViews>
  <sheetFormatPr defaultColWidth="10.26953125" defaultRowHeight="15.5" x14ac:dyDescent="0.35"/>
  <cols>
    <col min="1" max="1" width="4.7265625" style="132" customWidth="1"/>
    <col min="2" max="2" width="15.26953125" style="132" customWidth="1"/>
    <col min="3" max="3" width="12.6328125" style="132" customWidth="1"/>
    <col min="4" max="4" width="11.81640625" style="132" bestFit="1" customWidth="1"/>
    <col min="5" max="5" width="11.36328125" style="132" customWidth="1"/>
    <col min="6" max="6" width="12.36328125" style="132" customWidth="1"/>
    <col min="7" max="7" width="12.6328125" style="132" customWidth="1"/>
    <col min="8" max="8" width="11.26953125" style="132" bestFit="1" customWidth="1"/>
    <col min="9" max="9" width="12.1796875" style="132" customWidth="1"/>
    <col min="10" max="11" width="13.36328125" style="132" bestFit="1" customWidth="1"/>
    <col min="12" max="12" width="13.90625" style="132" bestFit="1" customWidth="1"/>
    <col min="13" max="13" width="11.26953125" style="132" customWidth="1"/>
    <col min="14" max="14" width="11.81640625" style="132" bestFit="1" customWidth="1"/>
    <col min="15" max="236" width="10.26953125" style="132"/>
    <col min="237" max="237" width="4.7265625" style="132" customWidth="1"/>
    <col min="238" max="238" width="15.26953125" style="132" customWidth="1"/>
    <col min="239" max="239" width="12.6328125" style="132" customWidth="1"/>
    <col min="240" max="240" width="11.81640625" style="132" bestFit="1" customWidth="1"/>
    <col min="241" max="241" width="11.36328125" style="132" customWidth="1"/>
    <col min="242" max="242" width="11.54296875" style="132" customWidth="1"/>
    <col min="243" max="243" width="12.6328125" style="132" customWidth="1"/>
    <col min="244" max="244" width="11.26953125" style="132" bestFit="1" customWidth="1"/>
    <col min="245" max="245" width="12.1796875" style="132" customWidth="1"/>
    <col min="246" max="247" width="13.36328125" style="132" bestFit="1" customWidth="1"/>
    <col min="248" max="248" width="13.90625" style="132" bestFit="1" customWidth="1"/>
    <col min="249" max="268" width="12.6328125" style="132" customWidth="1"/>
    <col min="269" max="269" width="11.26953125" style="132" customWidth="1"/>
    <col min="270" max="270" width="11.81640625" style="132" bestFit="1" customWidth="1"/>
    <col min="271" max="492" width="10.26953125" style="132"/>
    <col min="493" max="493" width="4.7265625" style="132" customWidth="1"/>
    <col min="494" max="494" width="15.26953125" style="132" customWidth="1"/>
    <col min="495" max="495" width="12.6328125" style="132" customWidth="1"/>
    <col min="496" max="496" width="11.81640625" style="132" bestFit="1" customWidth="1"/>
    <col min="497" max="497" width="11.36328125" style="132" customWidth="1"/>
    <col min="498" max="498" width="11.54296875" style="132" customWidth="1"/>
    <col min="499" max="499" width="12.6328125" style="132" customWidth="1"/>
    <col min="500" max="500" width="11.26953125" style="132" bestFit="1" customWidth="1"/>
    <col min="501" max="501" width="12.1796875" style="132" customWidth="1"/>
    <col min="502" max="503" width="13.36328125" style="132" bestFit="1" customWidth="1"/>
    <col min="504" max="504" width="13.90625" style="132" bestFit="1" customWidth="1"/>
    <col min="505" max="524" width="12.6328125" style="132" customWidth="1"/>
    <col min="525" max="525" width="11.26953125" style="132" customWidth="1"/>
    <col min="526" max="526" width="11.81640625" style="132" bestFit="1" customWidth="1"/>
    <col min="527" max="748" width="10.26953125" style="132"/>
    <col min="749" max="749" width="4.7265625" style="132" customWidth="1"/>
    <col min="750" max="750" width="15.26953125" style="132" customWidth="1"/>
    <col min="751" max="751" width="12.6328125" style="132" customWidth="1"/>
    <col min="752" max="752" width="11.81640625" style="132" bestFit="1" customWidth="1"/>
    <col min="753" max="753" width="11.36328125" style="132" customWidth="1"/>
    <col min="754" max="754" width="11.54296875" style="132" customWidth="1"/>
    <col min="755" max="755" width="12.6328125" style="132" customWidth="1"/>
    <col min="756" max="756" width="11.26953125" style="132" bestFit="1" customWidth="1"/>
    <col min="757" max="757" width="12.1796875" style="132" customWidth="1"/>
    <col min="758" max="759" width="13.36328125" style="132" bestFit="1" customWidth="1"/>
    <col min="760" max="760" width="13.90625" style="132" bestFit="1" customWidth="1"/>
    <col min="761" max="780" width="12.6328125" style="132" customWidth="1"/>
    <col min="781" max="781" width="11.26953125" style="132" customWidth="1"/>
    <col min="782" max="782" width="11.81640625" style="132" bestFit="1" customWidth="1"/>
    <col min="783" max="1004" width="10.26953125" style="132"/>
    <col min="1005" max="1005" width="4.7265625" style="132" customWidth="1"/>
    <col min="1006" max="1006" width="15.26953125" style="132" customWidth="1"/>
    <col min="1007" max="1007" width="12.6328125" style="132" customWidth="1"/>
    <col min="1008" max="1008" width="11.81640625" style="132" bestFit="1" customWidth="1"/>
    <col min="1009" max="1009" width="11.36328125" style="132" customWidth="1"/>
    <col min="1010" max="1010" width="11.54296875" style="132" customWidth="1"/>
    <col min="1011" max="1011" width="12.6328125" style="132" customWidth="1"/>
    <col min="1012" max="1012" width="11.26953125" style="132" bestFit="1" customWidth="1"/>
    <col min="1013" max="1013" width="12.1796875" style="132" customWidth="1"/>
    <col min="1014" max="1015" width="13.36328125" style="132" bestFit="1" customWidth="1"/>
    <col min="1016" max="1016" width="13.90625" style="132" bestFit="1" customWidth="1"/>
    <col min="1017" max="1036" width="12.6328125" style="132" customWidth="1"/>
    <col min="1037" max="1037" width="11.26953125" style="132" customWidth="1"/>
    <col min="1038" max="1038" width="11.81640625" style="132" bestFit="1" customWidth="1"/>
    <col min="1039" max="1260" width="10.26953125" style="132"/>
    <col min="1261" max="1261" width="4.7265625" style="132" customWidth="1"/>
    <col min="1262" max="1262" width="15.26953125" style="132" customWidth="1"/>
    <col min="1263" max="1263" width="12.6328125" style="132" customWidth="1"/>
    <col min="1264" max="1264" width="11.81640625" style="132" bestFit="1" customWidth="1"/>
    <col min="1265" max="1265" width="11.36328125" style="132" customWidth="1"/>
    <col min="1266" max="1266" width="11.54296875" style="132" customWidth="1"/>
    <col min="1267" max="1267" width="12.6328125" style="132" customWidth="1"/>
    <col min="1268" max="1268" width="11.26953125" style="132" bestFit="1" customWidth="1"/>
    <col min="1269" max="1269" width="12.1796875" style="132" customWidth="1"/>
    <col min="1270" max="1271" width="13.36328125" style="132" bestFit="1" customWidth="1"/>
    <col min="1272" max="1272" width="13.90625" style="132" bestFit="1" customWidth="1"/>
    <col min="1273" max="1292" width="12.6328125" style="132" customWidth="1"/>
    <col min="1293" max="1293" width="11.26953125" style="132" customWidth="1"/>
    <col min="1294" max="1294" width="11.81640625" style="132" bestFit="1" customWidth="1"/>
    <col min="1295" max="1516" width="10.26953125" style="132"/>
    <col min="1517" max="1517" width="4.7265625" style="132" customWidth="1"/>
    <col min="1518" max="1518" width="15.26953125" style="132" customWidth="1"/>
    <col min="1519" max="1519" width="12.6328125" style="132" customWidth="1"/>
    <col min="1520" max="1520" width="11.81640625" style="132" bestFit="1" customWidth="1"/>
    <col min="1521" max="1521" width="11.36328125" style="132" customWidth="1"/>
    <col min="1522" max="1522" width="11.54296875" style="132" customWidth="1"/>
    <col min="1523" max="1523" width="12.6328125" style="132" customWidth="1"/>
    <col min="1524" max="1524" width="11.26953125" style="132" bestFit="1" customWidth="1"/>
    <col min="1525" max="1525" width="12.1796875" style="132" customWidth="1"/>
    <col min="1526" max="1527" width="13.36328125" style="132" bestFit="1" customWidth="1"/>
    <col min="1528" max="1528" width="13.90625" style="132" bestFit="1" customWidth="1"/>
    <col min="1529" max="1548" width="12.6328125" style="132" customWidth="1"/>
    <col min="1549" max="1549" width="11.26953125" style="132" customWidth="1"/>
    <col min="1550" max="1550" width="11.81640625" style="132" bestFit="1" customWidth="1"/>
    <col min="1551" max="1772" width="10.26953125" style="132"/>
    <col min="1773" max="1773" width="4.7265625" style="132" customWidth="1"/>
    <col min="1774" max="1774" width="15.26953125" style="132" customWidth="1"/>
    <col min="1775" max="1775" width="12.6328125" style="132" customWidth="1"/>
    <col min="1776" max="1776" width="11.81640625" style="132" bestFit="1" customWidth="1"/>
    <col min="1777" max="1777" width="11.36328125" style="132" customWidth="1"/>
    <col min="1778" max="1778" width="11.54296875" style="132" customWidth="1"/>
    <col min="1779" max="1779" width="12.6328125" style="132" customWidth="1"/>
    <col min="1780" max="1780" width="11.26953125" style="132" bestFit="1" customWidth="1"/>
    <col min="1781" max="1781" width="12.1796875" style="132" customWidth="1"/>
    <col min="1782" max="1783" width="13.36328125" style="132" bestFit="1" customWidth="1"/>
    <col min="1784" max="1784" width="13.90625" style="132" bestFit="1" customWidth="1"/>
    <col min="1785" max="1804" width="12.6328125" style="132" customWidth="1"/>
    <col min="1805" max="1805" width="11.26953125" style="132" customWidth="1"/>
    <col min="1806" max="1806" width="11.81640625" style="132" bestFit="1" customWidth="1"/>
    <col min="1807" max="2028" width="10.26953125" style="132"/>
    <col min="2029" max="2029" width="4.7265625" style="132" customWidth="1"/>
    <col min="2030" max="2030" width="15.26953125" style="132" customWidth="1"/>
    <col min="2031" max="2031" width="12.6328125" style="132" customWidth="1"/>
    <col min="2032" max="2032" width="11.81640625" style="132" bestFit="1" customWidth="1"/>
    <col min="2033" max="2033" width="11.36328125" style="132" customWidth="1"/>
    <col min="2034" max="2034" width="11.54296875" style="132" customWidth="1"/>
    <col min="2035" max="2035" width="12.6328125" style="132" customWidth="1"/>
    <col min="2036" max="2036" width="11.26953125" style="132" bestFit="1" customWidth="1"/>
    <col min="2037" max="2037" width="12.1796875" style="132" customWidth="1"/>
    <col min="2038" max="2039" width="13.36328125" style="132" bestFit="1" customWidth="1"/>
    <col min="2040" max="2040" width="13.90625" style="132" bestFit="1" customWidth="1"/>
    <col min="2041" max="2060" width="12.6328125" style="132" customWidth="1"/>
    <col min="2061" max="2061" width="11.26953125" style="132" customWidth="1"/>
    <col min="2062" max="2062" width="11.81640625" style="132" bestFit="1" customWidth="1"/>
    <col min="2063" max="2284" width="10.26953125" style="132"/>
    <col min="2285" max="2285" width="4.7265625" style="132" customWidth="1"/>
    <col min="2286" max="2286" width="15.26953125" style="132" customWidth="1"/>
    <col min="2287" max="2287" width="12.6328125" style="132" customWidth="1"/>
    <col min="2288" max="2288" width="11.81640625" style="132" bestFit="1" customWidth="1"/>
    <col min="2289" max="2289" width="11.36328125" style="132" customWidth="1"/>
    <col min="2290" max="2290" width="11.54296875" style="132" customWidth="1"/>
    <col min="2291" max="2291" width="12.6328125" style="132" customWidth="1"/>
    <col min="2292" max="2292" width="11.26953125" style="132" bestFit="1" customWidth="1"/>
    <col min="2293" max="2293" width="12.1796875" style="132" customWidth="1"/>
    <col min="2294" max="2295" width="13.36328125" style="132" bestFit="1" customWidth="1"/>
    <col min="2296" max="2296" width="13.90625" style="132" bestFit="1" customWidth="1"/>
    <col min="2297" max="2316" width="12.6328125" style="132" customWidth="1"/>
    <col min="2317" max="2317" width="11.26953125" style="132" customWidth="1"/>
    <col min="2318" max="2318" width="11.81640625" style="132" bestFit="1" customWidth="1"/>
    <col min="2319" max="2540" width="10.26953125" style="132"/>
    <col min="2541" max="2541" width="4.7265625" style="132" customWidth="1"/>
    <col min="2542" max="2542" width="15.26953125" style="132" customWidth="1"/>
    <col min="2543" max="2543" width="12.6328125" style="132" customWidth="1"/>
    <col min="2544" max="2544" width="11.81640625" style="132" bestFit="1" customWidth="1"/>
    <col min="2545" max="2545" width="11.36328125" style="132" customWidth="1"/>
    <col min="2546" max="2546" width="11.54296875" style="132" customWidth="1"/>
    <col min="2547" max="2547" width="12.6328125" style="132" customWidth="1"/>
    <col min="2548" max="2548" width="11.26953125" style="132" bestFit="1" customWidth="1"/>
    <col min="2549" max="2549" width="12.1796875" style="132" customWidth="1"/>
    <col min="2550" max="2551" width="13.36328125" style="132" bestFit="1" customWidth="1"/>
    <col min="2552" max="2552" width="13.90625" style="132" bestFit="1" customWidth="1"/>
    <col min="2553" max="2572" width="12.6328125" style="132" customWidth="1"/>
    <col min="2573" max="2573" width="11.26953125" style="132" customWidth="1"/>
    <col min="2574" max="2574" width="11.81640625" style="132" bestFit="1" customWidth="1"/>
    <col min="2575" max="2796" width="10.26953125" style="132"/>
    <col min="2797" max="2797" width="4.7265625" style="132" customWidth="1"/>
    <col min="2798" max="2798" width="15.26953125" style="132" customWidth="1"/>
    <col min="2799" max="2799" width="12.6328125" style="132" customWidth="1"/>
    <col min="2800" max="2800" width="11.81640625" style="132" bestFit="1" customWidth="1"/>
    <col min="2801" max="2801" width="11.36328125" style="132" customWidth="1"/>
    <col min="2802" max="2802" width="11.54296875" style="132" customWidth="1"/>
    <col min="2803" max="2803" width="12.6328125" style="132" customWidth="1"/>
    <col min="2804" max="2804" width="11.26953125" style="132" bestFit="1" customWidth="1"/>
    <col min="2805" max="2805" width="12.1796875" style="132" customWidth="1"/>
    <col min="2806" max="2807" width="13.36328125" style="132" bestFit="1" customWidth="1"/>
    <col min="2808" max="2808" width="13.90625" style="132" bestFit="1" customWidth="1"/>
    <col min="2809" max="2828" width="12.6328125" style="132" customWidth="1"/>
    <col min="2829" max="2829" width="11.26953125" style="132" customWidth="1"/>
    <col min="2830" max="2830" width="11.81640625" style="132" bestFit="1" customWidth="1"/>
    <col min="2831" max="3052" width="10.26953125" style="132"/>
    <col min="3053" max="3053" width="4.7265625" style="132" customWidth="1"/>
    <col min="3054" max="3054" width="15.26953125" style="132" customWidth="1"/>
    <col min="3055" max="3055" width="12.6328125" style="132" customWidth="1"/>
    <col min="3056" max="3056" width="11.81640625" style="132" bestFit="1" customWidth="1"/>
    <col min="3057" max="3057" width="11.36328125" style="132" customWidth="1"/>
    <col min="3058" max="3058" width="11.54296875" style="132" customWidth="1"/>
    <col min="3059" max="3059" width="12.6328125" style="132" customWidth="1"/>
    <col min="3060" max="3060" width="11.26953125" style="132" bestFit="1" customWidth="1"/>
    <col min="3061" max="3061" width="12.1796875" style="132" customWidth="1"/>
    <col min="3062" max="3063" width="13.36328125" style="132" bestFit="1" customWidth="1"/>
    <col min="3064" max="3064" width="13.90625" style="132" bestFit="1" customWidth="1"/>
    <col min="3065" max="3084" width="12.6328125" style="132" customWidth="1"/>
    <col min="3085" max="3085" width="11.26953125" style="132" customWidth="1"/>
    <col min="3086" max="3086" width="11.81640625" style="132" bestFit="1" customWidth="1"/>
    <col min="3087" max="3308" width="10.26953125" style="132"/>
    <col min="3309" max="3309" width="4.7265625" style="132" customWidth="1"/>
    <col min="3310" max="3310" width="15.26953125" style="132" customWidth="1"/>
    <col min="3311" max="3311" width="12.6328125" style="132" customWidth="1"/>
    <col min="3312" max="3312" width="11.81640625" style="132" bestFit="1" customWidth="1"/>
    <col min="3313" max="3313" width="11.36328125" style="132" customWidth="1"/>
    <col min="3314" max="3314" width="11.54296875" style="132" customWidth="1"/>
    <col min="3315" max="3315" width="12.6328125" style="132" customWidth="1"/>
    <col min="3316" max="3316" width="11.26953125" style="132" bestFit="1" customWidth="1"/>
    <col min="3317" max="3317" width="12.1796875" style="132" customWidth="1"/>
    <col min="3318" max="3319" width="13.36328125" style="132" bestFit="1" customWidth="1"/>
    <col min="3320" max="3320" width="13.90625" style="132" bestFit="1" customWidth="1"/>
    <col min="3321" max="3340" width="12.6328125" style="132" customWidth="1"/>
    <col min="3341" max="3341" width="11.26953125" style="132" customWidth="1"/>
    <col min="3342" max="3342" width="11.81640625" style="132" bestFit="1" customWidth="1"/>
    <col min="3343" max="3564" width="10.26953125" style="132"/>
    <col min="3565" max="3565" width="4.7265625" style="132" customWidth="1"/>
    <col min="3566" max="3566" width="15.26953125" style="132" customWidth="1"/>
    <col min="3567" max="3567" width="12.6328125" style="132" customWidth="1"/>
    <col min="3568" max="3568" width="11.81640625" style="132" bestFit="1" customWidth="1"/>
    <col min="3569" max="3569" width="11.36328125" style="132" customWidth="1"/>
    <col min="3570" max="3570" width="11.54296875" style="132" customWidth="1"/>
    <col min="3571" max="3571" width="12.6328125" style="132" customWidth="1"/>
    <col min="3572" max="3572" width="11.26953125" style="132" bestFit="1" customWidth="1"/>
    <col min="3573" max="3573" width="12.1796875" style="132" customWidth="1"/>
    <col min="3574" max="3575" width="13.36328125" style="132" bestFit="1" customWidth="1"/>
    <col min="3576" max="3576" width="13.90625" style="132" bestFit="1" customWidth="1"/>
    <col min="3577" max="3596" width="12.6328125" style="132" customWidth="1"/>
    <col min="3597" max="3597" width="11.26953125" style="132" customWidth="1"/>
    <col min="3598" max="3598" width="11.81640625" style="132" bestFit="1" customWidth="1"/>
    <col min="3599" max="3820" width="10.26953125" style="132"/>
    <col min="3821" max="3821" width="4.7265625" style="132" customWidth="1"/>
    <col min="3822" max="3822" width="15.26953125" style="132" customWidth="1"/>
    <col min="3823" max="3823" width="12.6328125" style="132" customWidth="1"/>
    <col min="3824" max="3824" width="11.81640625" style="132" bestFit="1" customWidth="1"/>
    <col min="3825" max="3825" width="11.36328125" style="132" customWidth="1"/>
    <col min="3826" max="3826" width="11.54296875" style="132" customWidth="1"/>
    <col min="3827" max="3827" width="12.6328125" style="132" customWidth="1"/>
    <col min="3828" max="3828" width="11.26953125" style="132" bestFit="1" customWidth="1"/>
    <col min="3829" max="3829" width="12.1796875" style="132" customWidth="1"/>
    <col min="3830" max="3831" width="13.36328125" style="132" bestFit="1" customWidth="1"/>
    <col min="3832" max="3832" width="13.90625" style="132" bestFit="1" customWidth="1"/>
    <col min="3833" max="3852" width="12.6328125" style="132" customWidth="1"/>
    <col min="3853" max="3853" width="11.26953125" style="132" customWidth="1"/>
    <col min="3854" max="3854" width="11.81640625" style="132" bestFit="1" customWidth="1"/>
    <col min="3855" max="4076" width="10.26953125" style="132"/>
    <col min="4077" max="4077" width="4.7265625" style="132" customWidth="1"/>
    <col min="4078" max="4078" width="15.26953125" style="132" customWidth="1"/>
    <col min="4079" max="4079" width="12.6328125" style="132" customWidth="1"/>
    <col min="4080" max="4080" width="11.81640625" style="132" bestFit="1" customWidth="1"/>
    <col min="4081" max="4081" width="11.36328125" style="132" customWidth="1"/>
    <col min="4082" max="4082" width="11.54296875" style="132" customWidth="1"/>
    <col min="4083" max="4083" width="12.6328125" style="132" customWidth="1"/>
    <col min="4084" max="4084" width="11.26953125" style="132" bestFit="1" customWidth="1"/>
    <col min="4085" max="4085" width="12.1796875" style="132" customWidth="1"/>
    <col min="4086" max="4087" width="13.36328125" style="132" bestFit="1" customWidth="1"/>
    <col min="4088" max="4088" width="13.90625" style="132" bestFit="1" customWidth="1"/>
    <col min="4089" max="4108" width="12.6328125" style="132" customWidth="1"/>
    <col min="4109" max="4109" width="11.26953125" style="132" customWidth="1"/>
    <col min="4110" max="4110" width="11.81640625" style="132" bestFit="1" customWidth="1"/>
    <col min="4111" max="4332" width="10.26953125" style="132"/>
    <col min="4333" max="4333" width="4.7265625" style="132" customWidth="1"/>
    <col min="4334" max="4334" width="15.26953125" style="132" customWidth="1"/>
    <col min="4335" max="4335" width="12.6328125" style="132" customWidth="1"/>
    <col min="4336" max="4336" width="11.81640625" style="132" bestFit="1" customWidth="1"/>
    <col min="4337" max="4337" width="11.36328125" style="132" customWidth="1"/>
    <col min="4338" max="4338" width="11.54296875" style="132" customWidth="1"/>
    <col min="4339" max="4339" width="12.6328125" style="132" customWidth="1"/>
    <col min="4340" max="4340" width="11.26953125" style="132" bestFit="1" customWidth="1"/>
    <col min="4341" max="4341" width="12.1796875" style="132" customWidth="1"/>
    <col min="4342" max="4343" width="13.36328125" style="132" bestFit="1" customWidth="1"/>
    <col min="4344" max="4344" width="13.90625" style="132" bestFit="1" customWidth="1"/>
    <col min="4345" max="4364" width="12.6328125" style="132" customWidth="1"/>
    <col min="4365" max="4365" width="11.26953125" style="132" customWidth="1"/>
    <col min="4366" max="4366" width="11.81640625" style="132" bestFit="1" customWidth="1"/>
    <col min="4367" max="4588" width="10.26953125" style="132"/>
    <col min="4589" max="4589" width="4.7265625" style="132" customWidth="1"/>
    <col min="4590" max="4590" width="15.26953125" style="132" customWidth="1"/>
    <col min="4591" max="4591" width="12.6328125" style="132" customWidth="1"/>
    <col min="4592" max="4592" width="11.81640625" style="132" bestFit="1" customWidth="1"/>
    <col min="4593" max="4593" width="11.36328125" style="132" customWidth="1"/>
    <col min="4594" max="4594" width="11.54296875" style="132" customWidth="1"/>
    <col min="4595" max="4595" width="12.6328125" style="132" customWidth="1"/>
    <col min="4596" max="4596" width="11.26953125" style="132" bestFit="1" customWidth="1"/>
    <col min="4597" max="4597" width="12.1796875" style="132" customWidth="1"/>
    <col min="4598" max="4599" width="13.36328125" style="132" bestFit="1" customWidth="1"/>
    <col min="4600" max="4600" width="13.90625" style="132" bestFit="1" customWidth="1"/>
    <col min="4601" max="4620" width="12.6328125" style="132" customWidth="1"/>
    <col min="4621" max="4621" width="11.26953125" style="132" customWidth="1"/>
    <col min="4622" max="4622" width="11.81640625" style="132" bestFit="1" customWidth="1"/>
    <col min="4623" max="4844" width="10.26953125" style="132"/>
    <col min="4845" max="4845" width="4.7265625" style="132" customWidth="1"/>
    <col min="4846" max="4846" width="15.26953125" style="132" customWidth="1"/>
    <col min="4847" max="4847" width="12.6328125" style="132" customWidth="1"/>
    <col min="4848" max="4848" width="11.81640625" style="132" bestFit="1" customWidth="1"/>
    <col min="4849" max="4849" width="11.36328125" style="132" customWidth="1"/>
    <col min="4850" max="4850" width="11.54296875" style="132" customWidth="1"/>
    <col min="4851" max="4851" width="12.6328125" style="132" customWidth="1"/>
    <col min="4852" max="4852" width="11.26953125" style="132" bestFit="1" customWidth="1"/>
    <col min="4853" max="4853" width="12.1796875" style="132" customWidth="1"/>
    <col min="4854" max="4855" width="13.36328125" style="132" bestFit="1" customWidth="1"/>
    <col min="4856" max="4856" width="13.90625" style="132" bestFit="1" customWidth="1"/>
    <col min="4857" max="4876" width="12.6328125" style="132" customWidth="1"/>
    <col min="4877" max="4877" width="11.26953125" style="132" customWidth="1"/>
    <col min="4878" max="4878" width="11.81640625" style="132" bestFit="1" customWidth="1"/>
    <col min="4879" max="5100" width="10.26953125" style="132"/>
    <col min="5101" max="5101" width="4.7265625" style="132" customWidth="1"/>
    <col min="5102" max="5102" width="15.26953125" style="132" customWidth="1"/>
    <col min="5103" max="5103" width="12.6328125" style="132" customWidth="1"/>
    <col min="5104" max="5104" width="11.81640625" style="132" bestFit="1" customWidth="1"/>
    <col min="5105" max="5105" width="11.36328125" style="132" customWidth="1"/>
    <col min="5106" max="5106" width="11.54296875" style="132" customWidth="1"/>
    <col min="5107" max="5107" width="12.6328125" style="132" customWidth="1"/>
    <col min="5108" max="5108" width="11.26953125" style="132" bestFit="1" customWidth="1"/>
    <col min="5109" max="5109" width="12.1796875" style="132" customWidth="1"/>
    <col min="5110" max="5111" width="13.36328125" style="132" bestFit="1" customWidth="1"/>
    <col min="5112" max="5112" width="13.90625" style="132" bestFit="1" customWidth="1"/>
    <col min="5113" max="5132" width="12.6328125" style="132" customWidth="1"/>
    <col min="5133" max="5133" width="11.26953125" style="132" customWidth="1"/>
    <col min="5134" max="5134" width="11.81640625" style="132" bestFit="1" customWidth="1"/>
    <col min="5135" max="5356" width="10.26953125" style="132"/>
    <col min="5357" max="5357" width="4.7265625" style="132" customWidth="1"/>
    <col min="5358" max="5358" width="15.26953125" style="132" customWidth="1"/>
    <col min="5359" max="5359" width="12.6328125" style="132" customWidth="1"/>
    <col min="5360" max="5360" width="11.81640625" style="132" bestFit="1" customWidth="1"/>
    <col min="5361" max="5361" width="11.36328125" style="132" customWidth="1"/>
    <col min="5362" max="5362" width="11.54296875" style="132" customWidth="1"/>
    <col min="5363" max="5363" width="12.6328125" style="132" customWidth="1"/>
    <col min="5364" max="5364" width="11.26953125" style="132" bestFit="1" customWidth="1"/>
    <col min="5365" max="5365" width="12.1796875" style="132" customWidth="1"/>
    <col min="5366" max="5367" width="13.36328125" style="132" bestFit="1" customWidth="1"/>
    <col min="5368" max="5368" width="13.90625" style="132" bestFit="1" customWidth="1"/>
    <col min="5369" max="5388" width="12.6328125" style="132" customWidth="1"/>
    <col min="5389" max="5389" width="11.26953125" style="132" customWidth="1"/>
    <col min="5390" max="5390" width="11.81640625" style="132" bestFit="1" customWidth="1"/>
    <col min="5391" max="5612" width="10.26953125" style="132"/>
    <col min="5613" max="5613" width="4.7265625" style="132" customWidth="1"/>
    <col min="5614" max="5614" width="15.26953125" style="132" customWidth="1"/>
    <col min="5615" max="5615" width="12.6328125" style="132" customWidth="1"/>
    <col min="5616" max="5616" width="11.81640625" style="132" bestFit="1" customWidth="1"/>
    <col min="5617" max="5617" width="11.36328125" style="132" customWidth="1"/>
    <col min="5618" max="5618" width="11.54296875" style="132" customWidth="1"/>
    <col min="5619" max="5619" width="12.6328125" style="132" customWidth="1"/>
    <col min="5620" max="5620" width="11.26953125" style="132" bestFit="1" customWidth="1"/>
    <col min="5621" max="5621" width="12.1796875" style="132" customWidth="1"/>
    <col min="5622" max="5623" width="13.36328125" style="132" bestFit="1" customWidth="1"/>
    <col min="5624" max="5624" width="13.90625" style="132" bestFit="1" customWidth="1"/>
    <col min="5625" max="5644" width="12.6328125" style="132" customWidth="1"/>
    <col min="5645" max="5645" width="11.26953125" style="132" customWidth="1"/>
    <col min="5646" max="5646" width="11.81640625" style="132" bestFit="1" customWidth="1"/>
    <col min="5647" max="5868" width="10.26953125" style="132"/>
    <col min="5869" max="5869" width="4.7265625" style="132" customWidth="1"/>
    <col min="5870" max="5870" width="15.26953125" style="132" customWidth="1"/>
    <col min="5871" max="5871" width="12.6328125" style="132" customWidth="1"/>
    <col min="5872" max="5872" width="11.81640625" style="132" bestFit="1" customWidth="1"/>
    <col min="5873" max="5873" width="11.36328125" style="132" customWidth="1"/>
    <col min="5874" max="5874" width="11.54296875" style="132" customWidth="1"/>
    <col min="5875" max="5875" width="12.6328125" style="132" customWidth="1"/>
    <col min="5876" max="5876" width="11.26953125" style="132" bestFit="1" customWidth="1"/>
    <col min="5877" max="5877" width="12.1796875" style="132" customWidth="1"/>
    <col min="5878" max="5879" width="13.36328125" style="132" bestFit="1" customWidth="1"/>
    <col min="5880" max="5880" width="13.90625" style="132" bestFit="1" customWidth="1"/>
    <col min="5881" max="5900" width="12.6328125" style="132" customWidth="1"/>
    <col min="5901" max="5901" width="11.26953125" style="132" customWidth="1"/>
    <col min="5902" max="5902" width="11.81640625" style="132" bestFit="1" customWidth="1"/>
    <col min="5903" max="6124" width="10.26953125" style="132"/>
    <col min="6125" max="6125" width="4.7265625" style="132" customWidth="1"/>
    <col min="6126" max="6126" width="15.26953125" style="132" customWidth="1"/>
    <col min="6127" max="6127" width="12.6328125" style="132" customWidth="1"/>
    <col min="6128" max="6128" width="11.81640625" style="132" bestFit="1" customWidth="1"/>
    <col min="6129" max="6129" width="11.36328125" style="132" customWidth="1"/>
    <col min="6130" max="6130" width="11.54296875" style="132" customWidth="1"/>
    <col min="6131" max="6131" width="12.6328125" style="132" customWidth="1"/>
    <col min="6132" max="6132" width="11.26953125" style="132" bestFit="1" customWidth="1"/>
    <col min="6133" max="6133" width="12.1796875" style="132" customWidth="1"/>
    <col min="6134" max="6135" width="13.36328125" style="132" bestFit="1" customWidth="1"/>
    <col min="6136" max="6136" width="13.90625" style="132" bestFit="1" customWidth="1"/>
    <col min="6137" max="6156" width="12.6328125" style="132" customWidth="1"/>
    <col min="6157" max="6157" width="11.26953125" style="132" customWidth="1"/>
    <col min="6158" max="6158" width="11.81640625" style="132" bestFit="1" customWidth="1"/>
    <col min="6159" max="6380" width="10.26953125" style="132"/>
    <col min="6381" max="6381" width="4.7265625" style="132" customWidth="1"/>
    <col min="6382" max="6382" width="15.26953125" style="132" customWidth="1"/>
    <col min="6383" max="6383" width="12.6328125" style="132" customWidth="1"/>
    <col min="6384" max="6384" width="11.81640625" style="132" bestFit="1" customWidth="1"/>
    <col min="6385" max="6385" width="11.36328125" style="132" customWidth="1"/>
    <col min="6386" max="6386" width="11.54296875" style="132" customWidth="1"/>
    <col min="6387" max="6387" width="12.6328125" style="132" customWidth="1"/>
    <col min="6388" max="6388" width="11.26953125" style="132" bestFit="1" customWidth="1"/>
    <col min="6389" max="6389" width="12.1796875" style="132" customWidth="1"/>
    <col min="6390" max="6391" width="13.36328125" style="132" bestFit="1" customWidth="1"/>
    <col min="6392" max="6392" width="13.90625" style="132" bestFit="1" customWidth="1"/>
    <col min="6393" max="6412" width="12.6328125" style="132" customWidth="1"/>
    <col min="6413" max="6413" width="11.26953125" style="132" customWidth="1"/>
    <col min="6414" max="6414" width="11.81640625" style="132" bestFit="1" customWidth="1"/>
    <col min="6415" max="6636" width="10.26953125" style="132"/>
    <col min="6637" max="6637" width="4.7265625" style="132" customWidth="1"/>
    <col min="6638" max="6638" width="15.26953125" style="132" customWidth="1"/>
    <col min="6639" max="6639" width="12.6328125" style="132" customWidth="1"/>
    <col min="6640" max="6640" width="11.81640625" style="132" bestFit="1" customWidth="1"/>
    <col min="6641" max="6641" width="11.36328125" style="132" customWidth="1"/>
    <col min="6642" max="6642" width="11.54296875" style="132" customWidth="1"/>
    <col min="6643" max="6643" width="12.6328125" style="132" customWidth="1"/>
    <col min="6644" max="6644" width="11.26953125" style="132" bestFit="1" customWidth="1"/>
    <col min="6645" max="6645" width="12.1796875" style="132" customWidth="1"/>
    <col min="6646" max="6647" width="13.36328125" style="132" bestFit="1" customWidth="1"/>
    <col min="6648" max="6648" width="13.90625" style="132" bestFit="1" customWidth="1"/>
    <col min="6649" max="6668" width="12.6328125" style="132" customWidth="1"/>
    <col min="6669" max="6669" width="11.26953125" style="132" customWidth="1"/>
    <col min="6670" max="6670" width="11.81640625" style="132" bestFit="1" customWidth="1"/>
    <col min="6671" max="6892" width="10.26953125" style="132"/>
    <col min="6893" max="6893" width="4.7265625" style="132" customWidth="1"/>
    <col min="6894" max="6894" width="15.26953125" style="132" customWidth="1"/>
    <col min="6895" max="6895" width="12.6328125" style="132" customWidth="1"/>
    <col min="6896" max="6896" width="11.81640625" style="132" bestFit="1" customWidth="1"/>
    <col min="6897" max="6897" width="11.36328125" style="132" customWidth="1"/>
    <col min="6898" max="6898" width="11.54296875" style="132" customWidth="1"/>
    <col min="6899" max="6899" width="12.6328125" style="132" customWidth="1"/>
    <col min="6900" max="6900" width="11.26953125" style="132" bestFit="1" customWidth="1"/>
    <col min="6901" max="6901" width="12.1796875" style="132" customWidth="1"/>
    <col min="6902" max="6903" width="13.36328125" style="132" bestFit="1" customWidth="1"/>
    <col min="6904" max="6904" width="13.90625" style="132" bestFit="1" customWidth="1"/>
    <col min="6905" max="6924" width="12.6328125" style="132" customWidth="1"/>
    <col min="6925" max="6925" width="11.26953125" style="132" customWidth="1"/>
    <col min="6926" max="6926" width="11.81640625" style="132" bestFit="1" customWidth="1"/>
    <col min="6927" max="7148" width="10.26953125" style="132"/>
    <col min="7149" max="7149" width="4.7265625" style="132" customWidth="1"/>
    <col min="7150" max="7150" width="15.26953125" style="132" customWidth="1"/>
    <col min="7151" max="7151" width="12.6328125" style="132" customWidth="1"/>
    <col min="7152" max="7152" width="11.81640625" style="132" bestFit="1" customWidth="1"/>
    <col min="7153" max="7153" width="11.36328125" style="132" customWidth="1"/>
    <col min="7154" max="7154" width="11.54296875" style="132" customWidth="1"/>
    <col min="7155" max="7155" width="12.6328125" style="132" customWidth="1"/>
    <col min="7156" max="7156" width="11.26953125" style="132" bestFit="1" customWidth="1"/>
    <col min="7157" max="7157" width="12.1796875" style="132" customWidth="1"/>
    <col min="7158" max="7159" width="13.36328125" style="132" bestFit="1" customWidth="1"/>
    <col min="7160" max="7160" width="13.90625" style="132" bestFit="1" customWidth="1"/>
    <col min="7161" max="7180" width="12.6328125" style="132" customWidth="1"/>
    <col min="7181" max="7181" width="11.26953125" style="132" customWidth="1"/>
    <col min="7182" max="7182" width="11.81640625" style="132" bestFit="1" customWidth="1"/>
    <col min="7183" max="7404" width="10.26953125" style="132"/>
    <col min="7405" max="7405" width="4.7265625" style="132" customWidth="1"/>
    <col min="7406" max="7406" width="15.26953125" style="132" customWidth="1"/>
    <col min="7407" max="7407" width="12.6328125" style="132" customWidth="1"/>
    <col min="7408" max="7408" width="11.81640625" style="132" bestFit="1" customWidth="1"/>
    <col min="7409" max="7409" width="11.36328125" style="132" customWidth="1"/>
    <col min="7410" max="7410" width="11.54296875" style="132" customWidth="1"/>
    <col min="7411" max="7411" width="12.6328125" style="132" customWidth="1"/>
    <col min="7412" max="7412" width="11.26953125" style="132" bestFit="1" customWidth="1"/>
    <col min="7413" max="7413" width="12.1796875" style="132" customWidth="1"/>
    <col min="7414" max="7415" width="13.36328125" style="132" bestFit="1" customWidth="1"/>
    <col min="7416" max="7416" width="13.90625" style="132" bestFit="1" customWidth="1"/>
    <col min="7417" max="7436" width="12.6328125" style="132" customWidth="1"/>
    <col min="7437" max="7437" width="11.26953125" style="132" customWidth="1"/>
    <col min="7438" max="7438" width="11.81640625" style="132" bestFit="1" customWidth="1"/>
    <col min="7439" max="7660" width="10.26953125" style="132"/>
    <col min="7661" max="7661" width="4.7265625" style="132" customWidth="1"/>
    <col min="7662" max="7662" width="15.26953125" style="132" customWidth="1"/>
    <col min="7663" max="7663" width="12.6328125" style="132" customWidth="1"/>
    <col min="7664" max="7664" width="11.81640625" style="132" bestFit="1" customWidth="1"/>
    <col min="7665" max="7665" width="11.36328125" style="132" customWidth="1"/>
    <col min="7666" max="7666" width="11.54296875" style="132" customWidth="1"/>
    <col min="7667" max="7667" width="12.6328125" style="132" customWidth="1"/>
    <col min="7668" max="7668" width="11.26953125" style="132" bestFit="1" customWidth="1"/>
    <col min="7669" max="7669" width="12.1796875" style="132" customWidth="1"/>
    <col min="7670" max="7671" width="13.36328125" style="132" bestFit="1" customWidth="1"/>
    <col min="7672" max="7672" width="13.90625" style="132" bestFit="1" customWidth="1"/>
    <col min="7673" max="7692" width="12.6328125" style="132" customWidth="1"/>
    <col min="7693" max="7693" width="11.26953125" style="132" customWidth="1"/>
    <col min="7694" max="7694" width="11.81640625" style="132" bestFit="1" customWidth="1"/>
    <col min="7695" max="7916" width="10.26953125" style="132"/>
    <col min="7917" max="7917" width="4.7265625" style="132" customWidth="1"/>
    <col min="7918" max="7918" width="15.26953125" style="132" customWidth="1"/>
    <col min="7919" max="7919" width="12.6328125" style="132" customWidth="1"/>
    <col min="7920" max="7920" width="11.81640625" style="132" bestFit="1" customWidth="1"/>
    <col min="7921" max="7921" width="11.36328125" style="132" customWidth="1"/>
    <col min="7922" max="7922" width="11.54296875" style="132" customWidth="1"/>
    <col min="7923" max="7923" width="12.6328125" style="132" customWidth="1"/>
    <col min="7924" max="7924" width="11.26953125" style="132" bestFit="1" customWidth="1"/>
    <col min="7925" max="7925" width="12.1796875" style="132" customWidth="1"/>
    <col min="7926" max="7927" width="13.36328125" style="132" bestFit="1" customWidth="1"/>
    <col min="7928" max="7928" width="13.90625" style="132" bestFit="1" customWidth="1"/>
    <col min="7929" max="7948" width="12.6328125" style="132" customWidth="1"/>
    <col min="7949" max="7949" width="11.26953125" style="132" customWidth="1"/>
    <col min="7950" max="7950" width="11.81640625" style="132" bestFit="1" customWidth="1"/>
    <col min="7951" max="8172" width="10.26953125" style="132"/>
    <col min="8173" max="8173" width="4.7265625" style="132" customWidth="1"/>
    <col min="8174" max="8174" width="15.26953125" style="132" customWidth="1"/>
    <col min="8175" max="8175" width="12.6328125" style="132" customWidth="1"/>
    <col min="8176" max="8176" width="11.81640625" style="132" bestFit="1" customWidth="1"/>
    <col min="8177" max="8177" width="11.36328125" style="132" customWidth="1"/>
    <col min="8178" max="8178" width="11.54296875" style="132" customWidth="1"/>
    <col min="8179" max="8179" width="12.6328125" style="132" customWidth="1"/>
    <col min="8180" max="8180" width="11.26953125" style="132" bestFit="1" customWidth="1"/>
    <col min="8181" max="8181" width="12.1796875" style="132" customWidth="1"/>
    <col min="8182" max="8183" width="13.36328125" style="132" bestFit="1" customWidth="1"/>
    <col min="8184" max="8184" width="13.90625" style="132" bestFit="1" customWidth="1"/>
    <col min="8185" max="8204" width="12.6328125" style="132" customWidth="1"/>
    <col min="8205" max="8205" width="11.26953125" style="132" customWidth="1"/>
    <col min="8206" max="8206" width="11.81640625" style="132" bestFit="1" customWidth="1"/>
    <col min="8207" max="8428" width="10.26953125" style="132"/>
    <col min="8429" max="8429" width="4.7265625" style="132" customWidth="1"/>
    <col min="8430" max="8430" width="15.26953125" style="132" customWidth="1"/>
    <col min="8431" max="8431" width="12.6328125" style="132" customWidth="1"/>
    <col min="8432" max="8432" width="11.81640625" style="132" bestFit="1" customWidth="1"/>
    <col min="8433" max="8433" width="11.36328125" style="132" customWidth="1"/>
    <col min="8434" max="8434" width="11.54296875" style="132" customWidth="1"/>
    <col min="8435" max="8435" width="12.6328125" style="132" customWidth="1"/>
    <col min="8436" max="8436" width="11.26953125" style="132" bestFit="1" customWidth="1"/>
    <col min="8437" max="8437" width="12.1796875" style="132" customWidth="1"/>
    <col min="8438" max="8439" width="13.36328125" style="132" bestFit="1" customWidth="1"/>
    <col min="8440" max="8440" width="13.90625" style="132" bestFit="1" customWidth="1"/>
    <col min="8441" max="8460" width="12.6328125" style="132" customWidth="1"/>
    <col min="8461" max="8461" width="11.26953125" style="132" customWidth="1"/>
    <col min="8462" max="8462" width="11.81640625" style="132" bestFit="1" customWidth="1"/>
    <col min="8463" max="8684" width="10.26953125" style="132"/>
    <col min="8685" max="8685" width="4.7265625" style="132" customWidth="1"/>
    <col min="8686" max="8686" width="15.26953125" style="132" customWidth="1"/>
    <col min="8687" max="8687" width="12.6328125" style="132" customWidth="1"/>
    <col min="8688" max="8688" width="11.81640625" style="132" bestFit="1" customWidth="1"/>
    <col min="8689" max="8689" width="11.36328125" style="132" customWidth="1"/>
    <col min="8690" max="8690" width="11.54296875" style="132" customWidth="1"/>
    <col min="8691" max="8691" width="12.6328125" style="132" customWidth="1"/>
    <col min="8692" max="8692" width="11.26953125" style="132" bestFit="1" customWidth="1"/>
    <col min="8693" max="8693" width="12.1796875" style="132" customWidth="1"/>
    <col min="8694" max="8695" width="13.36328125" style="132" bestFit="1" customWidth="1"/>
    <col min="8696" max="8696" width="13.90625" style="132" bestFit="1" customWidth="1"/>
    <col min="8697" max="8716" width="12.6328125" style="132" customWidth="1"/>
    <col min="8717" max="8717" width="11.26953125" style="132" customWidth="1"/>
    <col min="8718" max="8718" width="11.81640625" style="132" bestFit="1" customWidth="1"/>
    <col min="8719" max="8940" width="10.26953125" style="132"/>
    <col min="8941" max="8941" width="4.7265625" style="132" customWidth="1"/>
    <col min="8942" max="8942" width="15.26953125" style="132" customWidth="1"/>
    <col min="8943" max="8943" width="12.6328125" style="132" customWidth="1"/>
    <col min="8944" max="8944" width="11.81640625" style="132" bestFit="1" customWidth="1"/>
    <col min="8945" max="8945" width="11.36328125" style="132" customWidth="1"/>
    <col min="8946" max="8946" width="11.54296875" style="132" customWidth="1"/>
    <col min="8947" max="8947" width="12.6328125" style="132" customWidth="1"/>
    <col min="8948" max="8948" width="11.26953125" style="132" bestFit="1" customWidth="1"/>
    <col min="8949" max="8949" width="12.1796875" style="132" customWidth="1"/>
    <col min="8950" max="8951" width="13.36328125" style="132" bestFit="1" customWidth="1"/>
    <col min="8952" max="8952" width="13.90625" style="132" bestFit="1" customWidth="1"/>
    <col min="8953" max="8972" width="12.6328125" style="132" customWidth="1"/>
    <col min="8973" max="8973" width="11.26953125" style="132" customWidth="1"/>
    <col min="8974" max="8974" width="11.81640625" style="132" bestFit="1" customWidth="1"/>
    <col min="8975" max="9196" width="10.26953125" style="132"/>
    <col min="9197" max="9197" width="4.7265625" style="132" customWidth="1"/>
    <col min="9198" max="9198" width="15.26953125" style="132" customWidth="1"/>
    <col min="9199" max="9199" width="12.6328125" style="132" customWidth="1"/>
    <col min="9200" max="9200" width="11.81640625" style="132" bestFit="1" customWidth="1"/>
    <col min="9201" max="9201" width="11.36328125" style="132" customWidth="1"/>
    <col min="9202" max="9202" width="11.54296875" style="132" customWidth="1"/>
    <col min="9203" max="9203" width="12.6328125" style="132" customWidth="1"/>
    <col min="9204" max="9204" width="11.26953125" style="132" bestFit="1" customWidth="1"/>
    <col min="9205" max="9205" width="12.1796875" style="132" customWidth="1"/>
    <col min="9206" max="9207" width="13.36328125" style="132" bestFit="1" customWidth="1"/>
    <col min="9208" max="9208" width="13.90625" style="132" bestFit="1" customWidth="1"/>
    <col min="9209" max="9228" width="12.6328125" style="132" customWidth="1"/>
    <col min="9229" max="9229" width="11.26953125" style="132" customWidth="1"/>
    <col min="9230" max="9230" width="11.81640625" style="132" bestFit="1" customWidth="1"/>
    <col min="9231" max="9452" width="10.26953125" style="132"/>
    <col min="9453" max="9453" width="4.7265625" style="132" customWidth="1"/>
    <col min="9454" max="9454" width="15.26953125" style="132" customWidth="1"/>
    <col min="9455" max="9455" width="12.6328125" style="132" customWidth="1"/>
    <col min="9456" max="9456" width="11.81640625" style="132" bestFit="1" customWidth="1"/>
    <col min="9457" max="9457" width="11.36328125" style="132" customWidth="1"/>
    <col min="9458" max="9458" width="11.54296875" style="132" customWidth="1"/>
    <col min="9459" max="9459" width="12.6328125" style="132" customWidth="1"/>
    <col min="9460" max="9460" width="11.26953125" style="132" bestFit="1" customWidth="1"/>
    <col min="9461" max="9461" width="12.1796875" style="132" customWidth="1"/>
    <col min="9462" max="9463" width="13.36328125" style="132" bestFit="1" customWidth="1"/>
    <col min="9464" max="9464" width="13.90625" style="132" bestFit="1" customWidth="1"/>
    <col min="9465" max="9484" width="12.6328125" style="132" customWidth="1"/>
    <col min="9485" max="9485" width="11.26953125" style="132" customWidth="1"/>
    <col min="9486" max="9486" width="11.81640625" style="132" bestFit="1" customWidth="1"/>
    <col min="9487" max="9708" width="10.26953125" style="132"/>
    <col min="9709" max="9709" width="4.7265625" style="132" customWidth="1"/>
    <col min="9710" max="9710" width="15.26953125" style="132" customWidth="1"/>
    <col min="9711" max="9711" width="12.6328125" style="132" customWidth="1"/>
    <col min="9712" max="9712" width="11.81640625" style="132" bestFit="1" customWidth="1"/>
    <col min="9713" max="9713" width="11.36328125" style="132" customWidth="1"/>
    <col min="9714" max="9714" width="11.54296875" style="132" customWidth="1"/>
    <col min="9715" max="9715" width="12.6328125" style="132" customWidth="1"/>
    <col min="9716" max="9716" width="11.26953125" style="132" bestFit="1" customWidth="1"/>
    <col min="9717" max="9717" width="12.1796875" style="132" customWidth="1"/>
    <col min="9718" max="9719" width="13.36328125" style="132" bestFit="1" customWidth="1"/>
    <col min="9720" max="9720" width="13.90625" style="132" bestFit="1" customWidth="1"/>
    <col min="9721" max="9740" width="12.6328125" style="132" customWidth="1"/>
    <col min="9741" max="9741" width="11.26953125" style="132" customWidth="1"/>
    <col min="9742" max="9742" width="11.81640625" style="132" bestFit="1" customWidth="1"/>
    <col min="9743" max="9964" width="10.26953125" style="132"/>
    <col min="9965" max="9965" width="4.7265625" style="132" customWidth="1"/>
    <col min="9966" max="9966" width="15.26953125" style="132" customWidth="1"/>
    <col min="9967" max="9967" width="12.6328125" style="132" customWidth="1"/>
    <col min="9968" max="9968" width="11.81640625" style="132" bestFit="1" customWidth="1"/>
    <col min="9969" max="9969" width="11.36328125" style="132" customWidth="1"/>
    <col min="9970" max="9970" width="11.54296875" style="132" customWidth="1"/>
    <col min="9971" max="9971" width="12.6328125" style="132" customWidth="1"/>
    <col min="9972" max="9972" width="11.26953125" style="132" bestFit="1" customWidth="1"/>
    <col min="9973" max="9973" width="12.1796875" style="132" customWidth="1"/>
    <col min="9974" max="9975" width="13.36328125" style="132" bestFit="1" customWidth="1"/>
    <col min="9976" max="9976" width="13.90625" style="132" bestFit="1" customWidth="1"/>
    <col min="9977" max="9996" width="12.6328125" style="132" customWidth="1"/>
    <col min="9997" max="9997" width="11.26953125" style="132" customWidth="1"/>
    <col min="9998" max="9998" width="11.81640625" style="132" bestFit="1" customWidth="1"/>
    <col min="9999" max="10220" width="10.26953125" style="132"/>
    <col min="10221" max="10221" width="4.7265625" style="132" customWidth="1"/>
    <col min="10222" max="10222" width="15.26953125" style="132" customWidth="1"/>
    <col min="10223" max="10223" width="12.6328125" style="132" customWidth="1"/>
    <col min="10224" max="10224" width="11.81640625" style="132" bestFit="1" customWidth="1"/>
    <col min="10225" max="10225" width="11.36328125" style="132" customWidth="1"/>
    <col min="10226" max="10226" width="11.54296875" style="132" customWidth="1"/>
    <col min="10227" max="10227" width="12.6328125" style="132" customWidth="1"/>
    <col min="10228" max="10228" width="11.26953125" style="132" bestFit="1" customWidth="1"/>
    <col min="10229" max="10229" width="12.1796875" style="132" customWidth="1"/>
    <col min="10230" max="10231" width="13.36328125" style="132" bestFit="1" customWidth="1"/>
    <col min="10232" max="10232" width="13.90625" style="132" bestFit="1" customWidth="1"/>
    <col min="10233" max="10252" width="12.6328125" style="132" customWidth="1"/>
    <col min="10253" max="10253" width="11.26953125" style="132" customWidth="1"/>
    <col min="10254" max="10254" width="11.81640625" style="132" bestFit="1" customWidth="1"/>
    <col min="10255" max="10476" width="10.26953125" style="132"/>
    <col min="10477" max="10477" width="4.7265625" style="132" customWidth="1"/>
    <col min="10478" max="10478" width="15.26953125" style="132" customWidth="1"/>
    <col min="10479" max="10479" width="12.6328125" style="132" customWidth="1"/>
    <col min="10480" max="10480" width="11.81640625" style="132" bestFit="1" customWidth="1"/>
    <col min="10481" max="10481" width="11.36328125" style="132" customWidth="1"/>
    <col min="10482" max="10482" width="11.54296875" style="132" customWidth="1"/>
    <col min="10483" max="10483" width="12.6328125" style="132" customWidth="1"/>
    <col min="10484" max="10484" width="11.26953125" style="132" bestFit="1" customWidth="1"/>
    <col min="10485" max="10485" width="12.1796875" style="132" customWidth="1"/>
    <col min="10486" max="10487" width="13.36328125" style="132" bestFit="1" customWidth="1"/>
    <col min="10488" max="10488" width="13.90625" style="132" bestFit="1" customWidth="1"/>
    <col min="10489" max="10508" width="12.6328125" style="132" customWidth="1"/>
    <col min="10509" max="10509" width="11.26953125" style="132" customWidth="1"/>
    <col min="10510" max="10510" width="11.81640625" style="132" bestFit="1" customWidth="1"/>
    <col min="10511" max="10732" width="10.26953125" style="132"/>
    <col min="10733" max="10733" width="4.7265625" style="132" customWidth="1"/>
    <col min="10734" max="10734" width="15.26953125" style="132" customWidth="1"/>
    <col min="10735" max="10735" width="12.6328125" style="132" customWidth="1"/>
    <col min="10736" max="10736" width="11.81640625" style="132" bestFit="1" customWidth="1"/>
    <col min="10737" max="10737" width="11.36328125" style="132" customWidth="1"/>
    <col min="10738" max="10738" width="11.54296875" style="132" customWidth="1"/>
    <col min="10739" max="10739" width="12.6328125" style="132" customWidth="1"/>
    <col min="10740" max="10740" width="11.26953125" style="132" bestFit="1" customWidth="1"/>
    <col min="10741" max="10741" width="12.1796875" style="132" customWidth="1"/>
    <col min="10742" max="10743" width="13.36328125" style="132" bestFit="1" customWidth="1"/>
    <col min="10744" max="10744" width="13.90625" style="132" bestFit="1" customWidth="1"/>
    <col min="10745" max="10764" width="12.6328125" style="132" customWidth="1"/>
    <col min="10765" max="10765" width="11.26953125" style="132" customWidth="1"/>
    <col min="10766" max="10766" width="11.81640625" style="132" bestFit="1" customWidth="1"/>
    <col min="10767" max="10988" width="10.26953125" style="132"/>
    <col min="10989" max="10989" width="4.7265625" style="132" customWidth="1"/>
    <col min="10990" max="10990" width="15.26953125" style="132" customWidth="1"/>
    <col min="10991" max="10991" width="12.6328125" style="132" customWidth="1"/>
    <col min="10992" max="10992" width="11.81640625" style="132" bestFit="1" customWidth="1"/>
    <col min="10993" max="10993" width="11.36328125" style="132" customWidth="1"/>
    <col min="10994" max="10994" width="11.54296875" style="132" customWidth="1"/>
    <col min="10995" max="10995" width="12.6328125" style="132" customWidth="1"/>
    <col min="10996" max="10996" width="11.26953125" style="132" bestFit="1" customWidth="1"/>
    <col min="10997" max="10997" width="12.1796875" style="132" customWidth="1"/>
    <col min="10998" max="10999" width="13.36328125" style="132" bestFit="1" customWidth="1"/>
    <col min="11000" max="11000" width="13.90625" style="132" bestFit="1" customWidth="1"/>
    <col min="11001" max="11020" width="12.6328125" style="132" customWidth="1"/>
    <col min="11021" max="11021" width="11.26953125" style="132" customWidth="1"/>
    <col min="11022" max="11022" width="11.81640625" style="132" bestFit="1" customWidth="1"/>
    <col min="11023" max="11244" width="10.26953125" style="132"/>
    <col min="11245" max="11245" width="4.7265625" style="132" customWidth="1"/>
    <col min="11246" max="11246" width="15.26953125" style="132" customWidth="1"/>
    <col min="11247" max="11247" width="12.6328125" style="132" customWidth="1"/>
    <col min="11248" max="11248" width="11.81640625" style="132" bestFit="1" customWidth="1"/>
    <col min="11249" max="11249" width="11.36328125" style="132" customWidth="1"/>
    <col min="11250" max="11250" width="11.54296875" style="132" customWidth="1"/>
    <col min="11251" max="11251" width="12.6328125" style="132" customWidth="1"/>
    <col min="11252" max="11252" width="11.26953125" style="132" bestFit="1" customWidth="1"/>
    <col min="11253" max="11253" width="12.1796875" style="132" customWidth="1"/>
    <col min="11254" max="11255" width="13.36328125" style="132" bestFit="1" customWidth="1"/>
    <col min="11256" max="11256" width="13.90625" style="132" bestFit="1" customWidth="1"/>
    <col min="11257" max="11276" width="12.6328125" style="132" customWidth="1"/>
    <col min="11277" max="11277" width="11.26953125" style="132" customWidth="1"/>
    <col min="11278" max="11278" width="11.81640625" style="132" bestFit="1" customWidth="1"/>
    <col min="11279" max="11500" width="10.26953125" style="132"/>
    <col min="11501" max="11501" width="4.7265625" style="132" customWidth="1"/>
    <col min="11502" max="11502" width="15.26953125" style="132" customWidth="1"/>
    <col min="11503" max="11503" width="12.6328125" style="132" customWidth="1"/>
    <col min="11504" max="11504" width="11.81640625" style="132" bestFit="1" customWidth="1"/>
    <col min="11505" max="11505" width="11.36328125" style="132" customWidth="1"/>
    <col min="11506" max="11506" width="11.54296875" style="132" customWidth="1"/>
    <col min="11507" max="11507" width="12.6328125" style="132" customWidth="1"/>
    <col min="11508" max="11508" width="11.26953125" style="132" bestFit="1" customWidth="1"/>
    <col min="11509" max="11509" width="12.1796875" style="132" customWidth="1"/>
    <col min="11510" max="11511" width="13.36328125" style="132" bestFit="1" customWidth="1"/>
    <col min="11512" max="11512" width="13.90625" style="132" bestFit="1" customWidth="1"/>
    <col min="11513" max="11532" width="12.6328125" style="132" customWidth="1"/>
    <col min="11533" max="11533" width="11.26953125" style="132" customWidth="1"/>
    <col min="11534" max="11534" width="11.81640625" style="132" bestFit="1" customWidth="1"/>
    <col min="11535" max="11756" width="10.26953125" style="132"/>
    <col min="11757" max="11757" width="4.7265625" style="132" customWidth="1"/>
    <col min="11758" max="11758" width="15.26953125" style="132" customWidth="1"/>
    <col min="11759" max="11759" width="12.6328125" style="132" customWidth="1"/>
    <col min="11760" max="11760" width="11.81640625" style="132" bestFit="1" customWidth="1"/>
    <col min="11761" max="11761" width="11.36328125" style="132" customWidth="1"/>
    <col min="11762" max="11762" width="11.54296875" style="132" customWidth="1"/>
    <col min="11763" max="11763" width="12.6328125" style="132" customWidth="1"/>
    <col min="11764" max="11764" width="11.26953125" style="132" bestFit="1" customWidth="1"/>
    <col min="11765" max="11765" width="12.1796875" style="132" customWidth="1"/>
    <col min="11766" max="11767" width="13.36328125" style="132" bestFit="1" customWidth="1"/>
    <col min="11768" max="11768" width="13.90625" style="132" bestFit="1" customWidth="1"/>
    <col min="11769" max="11788" width="12.6328125" style="132" customWidth="1"/>
    <col min="11789" max="11789" width="11.26953125" style="132" customWidth="1"/>
    <col min="11790" max="11790" width="11.81640625" style="132" bestFit="1" customWidth="1"/>
    <col min="11791" max="12012" width="10.26953125" style="132"/>
    <col min="12013" max="12013" width="4.7265625" style="132" customWidth="1"/>
    <col min="12014" max="12014" width="15.26953125" style="132" customWidth="1"/>
    <col min="12015" max="12015" width="12.6328125" style="132" customWidth="1"/>
    <col min="12016" max="12016" width="11.81640625" style="132" bestFit="1" customWidth="1"/>
    <col min="12017" max="12017" width="11.36328125" style="132" customWidth="1"/>
    <col min="12018" max="12018" width="11.54296875" style="132" customWidth="1"/>
    <col min="12019" max="12019" width="12.6328125" style="132" customWidth="1"/>
    <col min="12020" max="12020" width="11.26953125" style="132" bestFit="1" customWidth="1"/>
    <col min="12021" max="12021" width="12.1796875" style="132" customWidth="1"/>
    <col min="12022" max="12023" width="13.36328125" style="132" bestFit="1" customWidth="1"/>
    <col min="12024" max="12024" width="13.90625" style="132" bestFit="1" customWidth="1"/>
    <col min="12025" max="12044" width="12.6328125" style="132" customWidth="1"/>
    <col min="12045" max="12045" width="11.26953125" style="132" customWidth="1"/>
    <col min="12046" max="12046" width="11.81640625" style="132" bestFit="1" customWidth="1"/>
    <col min="12047" max="12268" width="10.26953125" style="132"/>
    <col min="12269" max="12269" width="4.7265625" style="132" customWidth="1"/>
    <col min="12270" max="12270" width="15.26953125" style="132" customWidth="1"/>
    <col min="12271" max="12271" width="12.6328125" style="132" customWidth="1"/>
    <col min="12272" max="12272" width="11.81640625" style="132" bestFit="1" customWidth="1"/>
    <col min="12273" max="12273" width="11.36328125" style="132" customWidth="1"/>
    <col min="12274" max="12274" width="11.54296875" style="132" customWidth="1"/>
    <col min="12275" max="12275" width="12.6328125" style="132" customWidth="1"/>
    <col min="12276" max="12276" width="11.26953125" style="132" bestFit="1" customWidth="1"/>
    <col min="12277" max="12277" width="12.1796875" style="132" customWidth="1"/>
    <col min="12278" max="12279" width="13.36328125" style="132" bestFit="1" customWidth="1"/>
    <col min="12280" max="12280" width="13.90625" style="132" bestFit="1" customWidth="1"/>
    <col min="12281" max="12300" width="12.6328125" style="132" customWidth="1"/>
    <col min="12301" max="12301" width="11.26953125" style="132" customWidth="1"/>
    <col min="12302" max="12302" width="11.81640625" style="132" bestFit="1" customWidth="1"/>
    <col min="12303" max="12524" width="10.26953125" style="132"/>
    <col min="12525" max="12525" width="4.7265625" style="132" customWidth="1"/>
    <col min="12526" max="12526" width="15.26953125" style="132" customWidth="1"/>
    <col min="12527" max="12527" width="12.6328125" style="132" customWidth="1"/>
    <col min="12528" max="12528" width="11.81640625" style="132" bestFit="1" customWidth="1"/>
    <col min="12529" max="12529" width="11.36328125" style="132" customWidth="1"/>
    <col min="12530" max="12530" width="11.54296875" style="132" customWidth="1"/>
    <col min="12531" max="12531" width="12.6328125" style="132" customWidth="1"/>
    <col min="12532" max="12532" width="11.26953125" style="132" bestFit="1" customWidth="1"/>
    <col min="12533" max="12533" width="12.1796875" style="132" customWidth="1"/>
    <col min="12534" max="12535" width="13.36328125" style="132" bestFit="1" customWidth="1"/>
    <col min="12536" max="12536" width="13.90625" style="132" bestFit="1" customWidth="1"/>
    <col min="12537" max="12556" width="12.6328125" style="132" customWidth="1"/>
    <col min="12557" max="12557" width="11.26953125" style="132" customWidth="1"/>
    <col min="12558" max="12558" width="11.81640625" style="132" bestFit="1" customWidth="1"/>
    <col min="12559" max="12780" width="10.26953125" style="132"/>
    <col min="12781" max="12781" width="4.7265625" style="132" customWidth="1"/>
    <col min="12782" max="12782" width="15.26953125" style="132" customWidth="1"/>
    <col min="12783" max="12783" width="12.6328125" style="132" customWidth="1"/>
    <col min="12784" max="12784" width="11.81640625" style="132" bestFit="1" customWidth="1"/>
    <col min="12785" max="12785" width="11.36328125" style="132" customWidth="1"/>
    <col min="12786" max="12786" width="11.54296875" style="132" customWidth="1"/>
    <col min="12787" max="12787" width="12.6328125" style="132" customWidth="1"/>
    <col min="12788" max="12788" width="11.26953125" style="132" bestFit="1" customWidth="1"/>
    <col min="12789" max="12789" width="12.1796875" style="132" customWidth="1"/>
    <col min="12790" max="12791" width="13.36328125" style="132" bestFit="1" customWidth="1"/>
    <col min="12792" max="12792" width="13.90625" style="132" bestFit="1" customWidth="1"/>
    <col min="12793" max="12812" width="12.6328125" style="132" customWidth="1"/>
    <col min="12813" max="12813" width="11.26953125" style="132" customWidth="1"/>
    <col min="12814" max="12814" width="11.81640625" style="132" bestFit="1" customWidth="1"/>
    <col min="12815" max="13036" width="10.26953125" style="132"/>
    <col min="13037" max="13037" width="4.7265625" style="132" customWidth="1"/>
    <col min="13038" max="13038" width="15.26953125" style="132" customWidth="1"/>
    <col min="13039" max="13039" width="12.6328125" style="132" customWidth="1"/>
    <col min="13040" max="13040" width="11.81640625" style="132" bestFit="1" customWidth="1"/>
    <col min="13041" max="13041" width="11.36328125" style="132" customWidth="1"/>
    <col min="13042" max="13042" width="11.54296875" style="132" customWidth="1"/>
    <col min="13043" max="13043" width="12.6328125" style="132" customWidth="1"/>
    <col min="13044" max="13044" width="11.26953125" style="132" bestFit="1" customWidth="1"/>
    <col min="13045" max="13045" width="12.1796875" style="132" customWidth="1"/>
    <col min="13046" max="13047" width="13.36328125" style="132" bestFit="1" customWidth="1"/>
    <col min="13048" max="13048" width="13.90625" style="132" bestFit="1" customWidth="1"/>
    <col min="13049" max="13068" width="12.6328125" style="132" customWidth="1"/>
    <col min="13069" max="13069" width="11.26953125" style="132" customWidth="1"/>
    <col min="13070" max="13070" width="11.81640625" style="132" bestFit="1" customWidth="1"/>
    <col min="13071" max="13292" width="10.26953125" style="132"/>
    <col min="13293" max="13293" width="4.7265625" style="132" customWidth="1"/>
    <col min="13294" max="13294" width="15.26953125" style="132" customWidth="1"/>
    <col min="13295" max="13295" width="12.6328125" style="132" customWidth="1"/>
    <col min="13296" max="13296" width="11.81640625" style="132" bestFit="1" customWidth="1"/>
    <col min="13297" max="13297" width="11.36328125" style="132" customWidth="1"/>
    <col min="13298" max="13298" width="11.54296875" style="132" customWidth="1"/>
    <col min="13299" max="13299" width="12.6328125" style="132" customWidth="1"/>
    <col min="13300" max="13300" width="11.26953125" style="132" bestFit="1" customWidth="1"/>
    <col min="13301" max="13301" width="12.1796875" style="132" customWidth="1"/>
    <col min="13302" max="13303" width="13.36328125" style="132" bestFit="1" customWidth="1"/>
    <col min="13304" max="13304" width="13.90625" style="132" bestFit="1" customWidth="1"/>
    <col min="13305" max="13324" width="12.6328125" style="132" customWidth="1"/>
    <col min="13325" max="13325" width="11.26953125" style="132" customWidth="1"/>
    <col min="13326" max="13326" width="11.81640625" style="132" bestFit="1" customWidth="1"/>
    <col min="13327" max="13548" width="10.26953125" style="132"/>
    <col min="13549" max="13549" width="4.7265625" style="132" customWidth="1"/>
    <col min="13550" max="13550" width="15.26953125" style="132" customWidth="1"/>
    <col min="13551" max="13551" width="12.6328125" style="132" customWidth="1"/>
    <col min="13552" max="13552" width="11.81640625" style="132" bestFit="1" customWidth="1"/>
    <col min="13553" max="13553" width="11.36328125" style="132" customWidth="1"/>
    <col min="13554" max="13554" width="11.54296875" style="132" customWidth="1"/>
    <col min="13555" max="13555" width="12.6328125" style="132" customWidth="1"/>
    <col min="13556" max="13556" width="11.26953125" style="132" bestFit="1" customWidth="1"/>
    <col min="13557" max="13557" width="12.1796875" style="132" customWidth="1"/>
    <col min="13558" max="13559" width="13.36328125" style="132" bestFit="1" customWidth="1"/>
    <col min="13560" max="13560" width="13.90625" style="132" bestFit="1" customWidth="1"/>
    <col min="13561" max="13580" width="12.6328125" style="132" customWidth="1"/>
    <col min="13581" max="13581" width="11.26953125" style="132" customWidth="1"/>
    <col min="13582" max="13582" width="11.81640625" style="132" bestFit="1" customWidth="1"/>
    <col min="13583" max="13804" width="10.26953125" style="132"/>
    <col min="13805" max="13805" width="4.7265625" style="132" customWidth="1"/>
    <col min="13806" max="13806" width="15.26953125" style="132" customWidth="1"/>
    <col min="13807" max="13807" width="12.6328125" style="132" customWidth="1"/>
    <col min="13808" max="13808" width="11.81640625" style="132" bestFit="1" customWidth="1"/>
    <col min="13809" max="13809" width="11.36328125" style="132" customWidth="1"/>
    <col min="13810" max="13810" width="11.54296875" style="132" customWidth="1"/>
    <col min="13811" max="13811" width="12.6328125" style="132" customWidth="1"/>
    <col min="13812" max="13812" width="11.26953125" style="132" bestFit="1" customWidth="1"/>
    <col min="13813" max="13813" width="12.1796875" style="132" customWidth="1"/>
    <col min="13814" max="13815" width="13.36328125" style="132" bestFit="1" customWidth="1"/>
    <col min="13816" max="13816" width="13.90625" style="132" bestFit="1" customWidth="1"/>
    <col min="13817" max="13836" width="12.6328125" style="132" customWidth="1"/>
    <col min="13837" max="13837" width="11.26953125" style="132" customWidth="1"/>
    <col min="13838" max="13838" width="11.81640625" style="132" bestFit="1" customWidth="1"/>
    <col min="13839" max="14060" width="10.26953125" style="132"/>
    <col min="14061" max="14061" width="4.7265625" style="132" customWidth="1"/>
    <col min="14062" max="14062" width="15.26953125" style="132" customWidth="1"/>
    <col min="14063" max="14063" width="12.6328125" style="132" customWidth="1"/>
    <col min="14064" max="14064" width="11.81640625" style="132" bestFit="1" customWidth="1"/>
    <col min="14065" max="14065" width="11.36328125" style="132" customWidth="1"/>
    <col min="14066" max="14066" width="11.54296875" style="132" customWidth="1"/>
    <col min="14067" max="14067" width="12.6328125" style="132" customWidth="1"/>
    <col min="14068" max="14068" width="11.26953125" style="132" bestFit="1" customWidth="1"/>
    <col min="14069" max="14069" width="12.1796875" style="132" customWidth="1"/>
    <col min="14070" max="14071" width="13.36328125" style="132" bestFit="1" customWidth="1"/>
    <col min="14072" max="14072" width="13.90625" style="132" bestFit="1" customWidth="1"/>
    <col min="14073" max="14092" width="12.6328125" style="132" customWidth="1"/>
    <col min="14093" max="14093" width="11.26953125" style="132" customWidth="1"/>
    <col min="14094" max="14094" width="11.81640625" style="132" bestFit="1" customWidth="1"/>
    <col min="14095" max="14316" width="10.26953125" style="132"/>
    <col min="14317" max="14317" width="4.7265625" style="132" customWidth="1"/>
    <col min="14318" max="14318" width="15.26953125" style="132" customWidth="1"/>
    <col min="14319" max="14319" width="12.6328125" style="132" customWidth="1"/>
    <col min="14320" max="14320" width="11.81640625" style="132" bestFit="1" customWidth="1"/>
    <col min="14321" max="14321" width="11.36328125" style="132" customWidth="1"/>
    <col min="14322" max="14322" width="11.54296875" style="132" customWidth="1"/>
    <col min="14323" max="14323" width="12.6328125" style="132" customWidth="1"/>
    <col min="14324" max="14324" width="11.26953125" style="132" bestFit="1" customWidth="1"/>
    <col min="14325" max="14325" width="12.1796875" style="132" customWidth="1"/>
    <col min="14326" max="14327" width="13.36328125" style="132" bestFit="1" customWidth="1"/>
    <col min="14328" max="14328" width="13.90625" style="132" bestFit="1" customWidth="1"/>
    <col min="14329" max="14348" width="12.6328125" style="132" customWidth="1"/>
    <col min="14349" max="14349" width="11.26953125" style="132" customWidth="1"/>
    <col min="14350" max="14350" width="11.81640625" style="132" bestFit="1" customWidth="1"/>
    <col min="14351" max="14572" width="10.26953125" style="132"/>
    <col min="14573" max="14573" width="4.7265625" style="132" customWidth="1"/>
    <col min="14574" max="14574" width="15.26953125" style="132" customWidth="1"/>
    <col min="14575" max="14575" width="12.6328125" style="132" customWidth="1"/>
    <col min="14576" max="14576" width="11.81640625" style="132" bestFit="1" customWidth="1"/>
    <col min="14577" max="14577" width="11.36328125" style="132" customWidth="1"/>
    <col min="14578" max="14578" width="11.54296875" style="132" customWidth="1"/>
    <col min="14579" max="14579" width="12.6328125" style="132" customWidth="1"/>
    <col min="14580" max="14580" width="11.26953125" style="132" bestFit="1" customWidth="1"/>
    <col min="14581" max="14581" width="12.1796875" style="132" customWidth="1"/>
    <col min="14582" max="14583" width="13.36328125" style="132" bestFit="1" customWidth="1"/>
    <col min="14584" max="14584" width="13.90625" style="132" bestFit="1" customWidth="1"/>
    <col min="14585" max="14604" width="12.6328125" style="132" customWidth="1"/>
    <col min="14605" max="14605" width="11.26953125" style="132" customWidth="1"/>
    <col min="14606" max="14606" width="11.81640625" style="132" bestFit="1" customWidth="1"/>
    <col min="14607" max="14828" width="10.26953125" style="132"/>
    <col min="14829" max="14829" width="4.7265625" style="132" customWidth="1"/>
    <col min="14830" max="14830" width="15.26953125" style="132" customWidth="1"/>
    <col min="14831" max="14831" width="12.6328125" style="132" customWidth="1"/>
    <col min="14832" max="14832" width="11.81640625" style="132" bestFit="1" customWidth="1"/>
    <col min="14833" max="14833" width="11.36328125" style="132" customWidth="1"/>
    <col min="14834" max="14834" width="11.54296875" style="132" customWidth="1"/>
    <col min="14835" max="14835" width="12.6328125" style="132" customWidth="1"/>
    <col min="14836" max="14836" width="11.26953125" style="132" bestFit="1" customWidth="1"/>
    <col min="14837" max="14837" width="12.1796875" style="132" customWidth="1"/>
    <col min="14838" max="14839" width="13.36328125" style="132" bestFit="1" customWidth="1"/>
    <col min="14840" max="14840" width="13.90625" style="132" bestFit="1" customWidth="1"/>
    <col min="14841" max="14860" width="12.6328125" style="132" customWidth="1"/>
    <col min="14861" max="14861" width="11.26953125" style="132" customWidth="1"/>
    <col min="14862" max="14862" width="11.81640625" style="132" bestFit="1" customWidth="1"/>
    <col min="14863" max="15084" width="10.26953125" style="132"/>
    <col min="15085" max="15085" width="4.7265625" style="132" customWidth="1"/>
    <col min="15086" max="15086" width="15.26953125" style="132" customWidth="1"/>
    <col min="15087" max="15087" width="12.6328125" style="132" customWidth="1"/>
    <col min="15088" max="15088" width="11.81640625" style="132" bestFit="1" customWidth="1"/>
    <col min="15089" max="15089" width="11.36328125" style="132" customWidth="1"/>
    <col min="15090" max="15090" width="11.54296875" style="132" customWidth="1"/>
    <col min="15091" max="15091" width="12.6328125" style="132" customWidth="1"/>
    <col min="15092" max="15092" width="11.26953125" style="132" bestFit="1" customWidth="1"/>
    <col min="15093" max="15093" width="12.1796875" style="132" customWidth="1"/>
    <col min="15094" max="15095" width="13.36328125" style="132" bestFit="1" customWidth="1"/>
    <col min="15096" max="15096" width="13.90625" style="132" bestFit="1" customWidth="1"/>
    <col min="15097" max="15116" width="12.6328125" style="132" customWidth="1"/>
    <col min="15117" max="15117" width="11.26953125" style="132" customWidth="1"/>
    <col min="15118" max="15118" width="11.81640625" style="132" bestFit="1" customWidth="1"/>
    <col min="15119" max="15340" width="10.26953125" style="132"/>
    <col min="15341" max="15341" width="4.7265625" style="132" customWidth="1"/>
    <col min="15342" max="15342" width="15.26953125" style="132" customWidth="1"/>
    <col min="15343" max="15343" width="12.6328125" style="132" customWidth="1"/>
    <col min="15344" max="15344" width="11.81640625" style="132" bestFit="1" customWidth="1"/>
    <col min="15345" max="15345" width="11.36328125" style="132" customWidth="1"/>
    <col min="15346" max="15346" width="11.54296875" style="132" customWidth="1"/>
    <col min="15347" max="15347" width="12.6328125" style="132" customWidth="1"/>
    <col min="15348" max="15348" width="11.26953125" style="132" bestFit="1" customWidth="1"/>
    <col min="15349" max="15349" width="12.1796875" style="132" customWidth="1"/>
    <col min="15350" max="15351" width="13.36328125" style="132" bestFit="1" customWidth="1"/>
    <col min="15352" max="15352" width="13.90625" style="132" bestFit="1" customWidth="1"/>
    <col min="15353" max="15372" width="12.6328125" style="132" customWidth="1"/>
    <col min="15373" max="15373" width="11.26953125" style="132" customWidth="1"/>
    <col min="15374" max="15374" width="11.81640625" style="132" bestFit="1" customWidth="1"/>
    <col min="15375" max="15596" width="10.26953125" style="132"/>
    <col min="15597" max="15597" width="4.7265625" style="132" customWidth="1"/>
    <col min="15598" max="15598" width="15.26953125" style="132" customWidth="1"/>
    <col min="15599" max="15599" width="12.6328125" style="132" customWidth="1"/>
    <col min="15600" max="15600" width="11.81640625" style="132" bestFit="1" customWidth="1"/>
    <col min="15601" max="15601" width="11.36328125" style="132" customWidth="1"/>
    <col min="15602" max="15602" width="11.54296875" style="132" customWidth="1"/>
    <col min="15603" max="15603" width="12.6328125" style="132" customWidth="1"/>
    <col min="15604" max="15604" width="11.26953125" style="132" bestFit="1" customWidth="1"/>
    <col min="15605" max="15605" width="12.1796875" style="132" customWidth="1"/>
    <col min="15606" max="15607" width="13.36328125" style="132" bestFit="1" customWidth="1"/>
    <col min="15608" max="15608" width="13.90625" style="132" bestFit="1" customWidth="1"/>
    <col min="15609" max="15628" width="12.6328125" style="132" customWidth="1"/>
    <col min="15629" max="15629" width="11.26953125" style="132" customWidth="1"/>
    <col min="15630" max="15630" width="11.81640625" style="132" bestFit="1" customWidth="1"/>
    <col min="15631" max="15852" width="10.26953125" style="132"/>
    <col min="15853" max="15853" width="4.7265625" style="132" customWidth="1"/>
    <col min="15854" max="15854" width="15.26953125" style="132" customWidth="1"/>
    <col min="15855" max="15855" width="12.6328125" style="132" customWidth="1"/>
    <col min="15856" max="15856" width="11.81640625" style="132" bestFit="1" customWidth="1"/>
    <col min="15857" max="15857" width="11.36328125" style="132" customWidth="1"/>
    <col min="15858" max="15858" width="11.54296875" style="132" customWidth="1"/>
    <col min="15859" max="15859" width="12.6328125" style="132" customWidth="1"/>
    <col min="15860" max="15860" width="11.26953125" style="132" bestFit="1" customWidth="1"/>
    <col min="15861" max="15861" width="12.1796875" style="132" customWidth="1"/>
    <col min="15862" max="15863" width="13.36328125" style="132" bestFit="1" customWidth="1"/>
    <col min="15864" max="15864" width="13.90625" style="132" bestFit="1" customWidth="1"/>
    <col min="15865" max="15884" width="12.6328125" style="132" customWidth="1"/>
    <col min="15885" max="15885" width="11.26953125" style="132" customWidth="1"/>
    <col min="15886" max="15886" width="11.81640625" style="132" bestFit="1" customWidth="1"/>
    <col min="15887" max="16108" width="10.26953125" style="132"/>
    <col min="16109" max="16109" width="4.7265625" style="132" customWidth="1"/>
    <col min="16110" max="16110" width="15.26953125" style="132" customWidth="1"/>
    <col min="16111" max="16111" width="12.6328125" style="132" customWidth="1"/>
    <col min="16112" max="16112" width="11.81640625" style="132" bestFit="1" customWidth="1"/>
    <col min="16113" max="16113" width="11.36328125" style="132" customWidth="1"/>
    <col min="16114" max="16114" width="11.54296875" style="132" customWidth="1"/>
    <col min="16115" max="16115" width="12.6328125" style="132" customWidth="1"/>
    <col min="16116" max="16116" width="11.26953125" style="132" bestFit="1" customWidth="1"/>
    <col min="16117" max="16117" width="12.1796875" style="132" customWidth="1"/>
    <col min="16118" max="16119" width="13.36328125" style="132" bestFit="1" customWidth="1"/>
    <col min="16120" max="16120" width="13.90625" style="132" bestFit="1" customWidth="1"/>
    <col min="16121" max="16140" width="12.6328125" style="132" customWidth="1"/>
    <col min="16141" max="16141" width="11.26953125" style="132" customWidth="1"/>
    <col min="16142" max="16142" width="11.81640625" style="132" bestFit="1" customWidth="1"/>
    <col min="16143" max="16384" width="10.26953125" style="132"/>
  </cols>
  <sheetData>
    <row r="1" spans="1:15" ht="20" x14ac:dyDescent="0.4">
      <c r="A1" s="131" t="s">
        <v>205</v>
      </c>
      <c r="I1" s="133"/>
    </row>
    <row r="3" spans="1:15" x14ac:dyDescent="0.35">
      <c r="A3" s="177" t="s">
        <v>116</v>
      </c>
      <c r="B3" s="177"/>
      <c r="E3" s="134"/>
      <c r="G3" s="135" t="s">
        <v>164</v>
      </c>
      <c r="H3" s="135" t="s">
        <v>93</v>
      </c>
    </row>
    <row r="4" spans="1:15" x14ac:dyDescent="0.35">
      <c r="A4" s="140" t="s">
        <v>118</v>
      </c>
      <c r="B4" s="140"/>
      <c r="E4" s="132" t="s">
        <v>119</v>
      </c>
      <c r="G4" s="171">
        <v>500</v>
      </c>
      <c r="H4" s="171">
        <v>250</v>
      </c>
      <c r="M4" s="142"/>
    </row>
    <row r="5" spans="1:15" x14ac:dyDescent="0.35">
      <c r="E5" s="134" t="s">
        <v>121</v>
      </c>
      <c r="G5" s="172">
        <f>Budget!O3</f>
        <v>2275</v>
      </c>
      <c r="H5" s="172">
        <f>Budget!Q3</f>
        <v>485.00000000000006</v>
      </c>
    </row>
    <row r="6" spans="1:15" x14ac:dyDescent="0.35">
      <c r="A6" s="132" t="s">
        <v>123</v>
      </c>
      <c r="C6" s="174">
        <f>SUM(F11:F13)</f>
        <v>1455219.98</v>
      </c>
      <c r="E6" s="132" t="s">
        <v>124</v>
      </c>
      <c r="G6" s="172">
        <f>Budget!O9</f>
        <v>1837.7973481481481</v>
      </c>
      <c r="H6" s="172">
        <f>Budget!Q9</f>
        <v>272.7973481481481</v>
      </c>
      <c r="J6" s="144"/>
      <c r="K6" s="144"/>
      <c r="L6" s="142"/>
      <c r="M6" s="133"/>
      <c r="N6" s="133"/>
    </row>
    <row r="7" spans="1:15" x14ac:dyDescent="0.35">
      <c r="A7" s="132" t="s">
        <v>125</v>
      </c>
      <c r="C7" s="174">
        <f>F13*(39.5-C18)/39.5</f>
        <v>926075.94936708861</v>
      </c>
      <c r="E7" s="134" t="s">
        <v>126</v>
      </c>
      <c r="G7" s="172">
        <f>Budget!M11-Budget!H71</f>
        <v>69114.104850000003</v>
      </c>
      <c r="H7" s="145"/>
      <c r="L7" s="146"/>
    </row>
    <row r="8" spans="1:15" x14ac:dyDescent="0.35">
      <c r="A8" s="134" t="s">
        <v>127</v>
      </c>
      <c r="C8" s="147">
        <f>IF(C17&gt;C18,-PV(C14,+C17-C18,G9),0)</f>
        <v>303494.6301154932</v>
      </c>
      <c r="E8" s="132" t="s">
        <v>220</v>
      </c>
      <c r="G8" s="194">
        <f>'Small Tools'!E33</f>
        <v>20938.829999999994</v>
      </c>
      <c r="H8" s="142"/>
      <c r="I8" s="136" t="s">
        <v>117</v>
      </c>
      <c r="J8" s="137"/>
      <c r="K8" s="139">
        <f>NPV(C16,D38:M38)+C38</f>
        <v>3678.8677930252161</v>
      </c>
    </row>
    <row r="9" spans="1:15" x14ac:dyDescent="0.35">
      <c r="A9" s="132" t="s">
        <v>128</v>
      </c>
      <c r="C9" s="142"/>
      <c r="E9" s="142" t="s">
        <v>165</v>
      </c>
      <c r="F9" s="142"/>
      <c r="G9" s="147">
        <f>PMT(C14,C17,-(C6*C13))</f>
        <v>70099.610923939428</v>
      </c>
      <c r="H9" s="142"/>
      <c r="I9" s="137" t="s">
        <v>120</v>
      </c>
      <c r="J9" s="137"/>
      <c r="K9" s="141">
        <f>IRR(C38:M38)</f>
        <v>6.5697094604568518E-2</v>
      </c>
    </row>
    <row r="10" spans="1:15" x14ac:dyDescent="0.35">
      <c r="B10" s="132" t="s">
        <v>129</v>
      </c>
      <c r="C10" s="175">
        <v>0.02</v>
      </c>
      <c r="E10" s="149" t="s">
        <v>130</v>
      </c>
      <c r="F10" s="150"/>
      <c r="G10" s="150"/>
      <c r="H10" s="151"/>
      <c r="I10" s="137" t="s">
        <v>122</v>
      </c>
      <c r="J10" s="138"/>
      <c r="K10" s="141">
        <f>MIRR(C38:M38,C14,C16)</f>
        <v>6.5515940083748392E-2</v>
      </c>
    </row>
    <row r="11" spans="1:15" x14ac:dyDescent="0.35">
      <c r="B11" s="132" t="s">
        <v>131</v>
      </c>
      <c r="C11" s="175">
        <v>0.02</v>
      </c>
      <c r="E11" s="132" t="s">
        <v>132</v>
      </c>
      <c r="F11" s="172">
        <f>'Initial Costs'!C39</f>
        <v>30000</v>
      </c>
      <c r="G11" s="142" t="s">
        <v>133</v>
      </c>
      <c r="H11" s="142"/>
    </row>
    <row r="12" spans="1:15" x14ac:dyDescent="0.35">
      <c r="A12" s="132" t="s">
        <v>134</v>
      </c>
      <c r="C12" s="175">
        <v>0.35</v>
      </c>
      <c r="E12" s="132" t="s">
        <v>135</v>
      </c>
      <c r="F12" s="172">
        <f>'Initial Costs'!C40</f>
        <v>185219.97999999998</v>
      </c>
      <c r="G12" s="142" t="s">
        <v>136</v>
      </c>
    </row>
    <row r="13" spans="1:15" x14ac:dyDescent="0.35">
      <c r="A13" s="132" t="s">
        <v>138</v>
      </c>
      <c r="C13" s="175">
        <v>0.5</v>
      </c>
      <c r="E13" s="132" t="s">
        <v>139</v>
      </c>
      <c r="F13" s="172">
        <f>'Initial Costs'!C41</f>
        <v>1240000</v>
      </c>
      <c r="G13" s="142" t="s">
        <v>140</v>
      </c>
      <c r="I13" s="142"/>
      <c r="J13" s="142"/>
      <c r="K13" s="145"/>
    </row>
    <row r="14" spans="1:15" x14ac:dyDescent="0.35">
      <c r="A14" s="132" t="s">
        <v>142</v>
      </c>
      <c r="C14" s="175">
        <v>0.05</v>
      </c>
      <c r="M14" s="152"/>
      <c r="N14" s="152"/>
      <c r="O14" s="152"/>
    </row>
    <row r="15" spans="1:15" x14ac:dyDescent="0.35">
      <c r="A15" s="134" t="s">
        <v>143</v>
      </c>
      <c r="B15" s="143"/>
      <c r="C15" s="176">
        <v>0.1</v>
      </c>
      <c r="M15" s="152"/>
      <c r="N15" s="152" t="s">
        <v>144</v>
      </c>
      <c r="O15" s="152"/>
    </row>
    <row r="16" spans="1:15" x14ac:dyDescent="0.35">
      <c r="A16" s="134" t="s">
        <v>145</v>
      </c>
      <c r="C16" s="153">
        <f>+C15*(1-C12)</f>
        <v>6.5000000000000002E-2</v>
      </c>
      <c r="D16" s="133" t="s">
        <v>146</v>
      </c>
      <c r="E16" s="154"/>
      <c r="F16" s="143"/>
      <c r="G16" s="155"/>
      <c r="H16" s="143"/>
      <c r="I16" s="143"/>
      <c r="J16" s="143"/>
      <c r="K16" s="143"/>
      <c r="L16" s="143"/>
      <c r="M16" s="152"/>
      <c r="N16" s="152"/>
    </row>
    <row r="17" spans="1:15" x14ac:dyDescent="0.35">
      <c r="A17" s="132" t="s">
        <v>147</v>
      </c>
      <c r="C17" s="177">
        <v>15</v>
      </c>
      <c r="D17" s="155">
        <v>1</v>
      </c>
      <c r="E17" s="156">
        <v>2</v>
      </c>
      <c r="F17" s="155">
        <v>3</v>
      </c>
      <c r="G17" s="155">
        <v>4</v>
      </c>
      <c r="H17" s="155">
        <v>5</v>
      </c>
      <c r="I17" s="155">
        <v>6</v>
      </c>
      <c r="J17" s="155">
        <v>7</v>
      </c>
      <c r="K17" s="155">
        <v>8</v>
      </c>
      <c r="L17" s="155">
        <v>9</v>
      </c>
      <c r="M17" s="155">
        <v>10</v>
      </c>
      <c r="N17" s="152"/>
    </row>
    <row r="18" spans="1:15" x14ac:dyDescent="0.35">
      <c r="A18" s="134" t="s">
        <v>148</v>
      </c>
      <c r="C18" s="173">
        <v>10</v>
      </c>
      <c r="D18" s="132">
        <v>0.15</v>
      </c>
      <c r="E18" s="132">
        <v>0.255</v>
      </c>
      <c r="F18" s="132">
        <v>0.17849999999999999</v>
      </c>
      <c r="G18" s="132">
        <v>0.1666</v>
      </c>
      <c r="H18" s="132">
        <v>0.1666</v>
      </c>
      <c r="I18" s="132">
        <v>0.83299999999999996</v>
      </c>
    </row>
    <row r="19" spans="1:15" x14ac:dyDescent="0.35">
      <c r="D19" s="132">
        <v>0.1071</v>
      </c>
      <c r="E19" s="132">
        <v>0.1913</v>
      </c>
      <c r="F19" s="132">
        <v>0.15029999999999999</v>
      </c>
      <c r="G19" s="132">
        <v>0.1225</v>
      </c>
      <c r="H19" s="132">
        <v>0.1225</v>
      </c>
      <c r="I19" s="132">
        <v>0.1225</v>
      </c>
      <c r="J19" s="132">
        <v>0.1225</v>
      </c>
      <c r="K19" s="132">
        <v>6.13E-2</v>
      </c>
    </row>
    <row r="20" spans="1:15" x14ac:dyDescent="0.35">
      <c r="D20" s="157">
        <f>1/39.5</f>
        <v>2.5316455696202531E-2</v>
      </c>
      <c r="E20" s="157">
        <f t="shared" ref="E20:M20" si="0">1/39.5</f>
        <v>2.5316455696202531E-2</v>
      </c>
      <c r="F20" s="157">
        <f t="shared" si="0"/>
        <v>2.5316455696202531E-2</v>
      </c>
      <c r="G20" s="157">
        <f t="shared" si="0"/>
        <v>2.5316455696202531E-2</v>
      </c>
      <c r="H20" s="157">
        <f t="shared" si="0"/>
        <v>2.5316455696202531E-2</v>
      </c>
      <c r="I20" s="157">
        <f t="shared" si="0"/>
        <v>2.5316455696202531E-2</v>
      </c>
      <c r="J20" s="157">
        <f t="shared" si="0"/>
        <v>2.5316455696202531E-2</v>
      </c>
      <c r="K20" s="157">
        <f t="shared" si="0"/>
        <v>2.5316455696202531E-2</v>
      </c>
      <c r="L20" s="157">
        <f t="shared" si="0"/>
        <v>2.5316455696202531E-2</v>
      </c>
      <c r="M20" s="157">
        <f t="shared" si="0"/>
        <v>2.5316455696202531E-2</v>
      </c>
    </row>
    <row r="22" spans="1:15" x14ac:dyDescent="0.35">
      <c r="A22" s="158"/>
      <c r="B22" s="159" t="s">
        <v>149</v>
      </c>
      <c r="C22" s="159">
        <v>0</v>
      </c>
      <c r="D22" s="159">
        <f t="shared" ref="D22:L22" si="1">C22+1</f>
        <v>1</v>
      </c>
      <c r="E22" s="159">
        <f t="shared" si="1"/>
        <v>2</v>
      </c>
      <c r="F22" s="159">
        <f t="shared" si="1"/>
        <v>3</v>
      </c>
      <c r="G22" s="159">
        <f t="shared" si="1"/>
        <v>4</v>
      </c>
      <c r="H22" s="159">
        <f t="shared" si="1"/>
        <v>5</v>
      </c>
      <c r="I22" s="159">
        <f t="shared" si="1"/>
        <v>6</v>
      </c>
      <c r="J22" s="159">
        <f t="shared" si="1"/>
        <v>7</v>
      </c>
      <c r="K22" s="159">
        <f t="shared" si="1"/>
        <v>8</v>
      </c>
      <c r="L22" s="159">
        <f t="shared" si="1"/>
        <v>9</v>
      </c>
      <c r="M22" s="159">
        <v>10</v>
      </c>
    </row>
    <row r="23" spans="1:15" x14ac:dyDescent="0.35">
      <c r="A23" s="132" t="s">
        <v>150</v>
      </c>
      <c r="D23" s="179">
        <v>0.5</v>
      </c>
      <c r="E23" s="179">
        <v>0.75</v>
      </c>
      <c r="F23" s="179">
        <v>0.9</v>
      </c>
      <c r="G23" s="179">
        <v>0.9</v>
      </c>
      <c r="H23" s="179">
        <v>0.9</v>
      </c>
      <c r="I23" s="179">
        <v>0.9</v>
      </c>
      <c r="J23" s="179">
        <v>0.9</v>
      </c>
      <c r="K23" s="179">
        <v>0.9</v>
      </c>
      <c r="L23" s="179">
        <v>0.9</v>
      </c>
      <c r="M23" s="179">
        <v>0.9</v>
      </c>
    </row>
    <row r="24" spans="1:15" x14ac:dyDescent="0.35">
      <c r="A24" s="132" t="s">
        <v>129</v>
      </c>
      <c r="B24" s="134"/>
      <c r="D24" s="160">
        <f>+(G5*G4+H4*H5)*D23</f>
        <v>629375</v>
      </c>
      <c r="E24" s="160">
        <f>+(($G$4*$G$5+$H$4*$H$5)*(1+$C$10)^D22)*E23</f>
        <v>962943.75</v>
      </c>
      <c r="F24" s="160">
        <f t="shared" ref="F24:M24" si="2">+(($G$4*$G$5+$H$4*$H$5)*(1+$C$10)^E22)*F23</f>
        <v>1178643.1500000001</v>
      </c>
      <c r="G24" s="160">
        <f t="shared" si="2"/>
        <v>1202216.0129999998</v>
      </c>
      <c r="H24" s="160">
        <f t="shared" si="2"/>
        <v>1226260.33326</v>
      </c>
      <c r="I24" s="160">
        <f t="shared" si="2"/>
        <v>1250785.5399252002</v>
      </c>
      <c r="J24" s="160">
        <f t="shared" si="2"/>
        <v>1275801.250723704</v>
      </c>
      <c r="K24" s="160">
        <f t="shared" si="2"/>
        <v>1301317.2757381778</v>
      </c>
      <c r="L24" s="160">
        <f t="shared" si="2"/>
        <v>1327343.6212529417</v>
      </c>
      <c r="M24" s="160">
        <f t="shared" si="2"/>
        <v>1353890.4936780005</v>
      </c>
    </row>
    <row r="25" spans="1:15" x14ac:dyDescent="0.35">
      <c r="A25" s="132" t="s">
        <v>151</v>
      </c>
      <c r="B25" s="143"/>
      <c r="D25" s="160"/>
      <c r="E25" s="160"/>
      <c r="F25" s="160"/>
      <c r="G25" s="160"/>
      <c r="H25" s="160"/>
      <c r="I25" s="160"/>
      <c r="J25" s="160"/>
      <c r="K25" s="160"/>
      <c r="L25" s="160"/>
      <c r="M25" s="160">
        <f>C7</f>
        <v>926075.94936708861</v>
      </c>
    </row>
    <row r="26" spans="1:15" ht="16" thickBot="1" x14ac:dyDescent="0.4">
      <c r="A26" s="132" t="s">
        <v>152</v>
      </c>
      <c r="C26" s="161"/>
      <c r="D26" s="162">
        <f t="shared" ref="D26:M26" si="3">D24+D25</f>
        <v>629375</v>
      </c>
      <c r="E26" s="162">
        <f t="shared" si="3"/>
        <v>962943.75</v>
      </c>
      <c r="F26" s="162">
        <f t="shared" si="3"/>
        <v>1178643.1500000001</v>
      </c>
      <c r="G26" s="162">
        <f t="shared" si="3"/>
        <v>1202216.0129999998</v>
      </c>
      <c r="H26" s="162">
        <f t="shared" si="3"/>
        <v>1226260.33326</v>
      </c>
      <c r="I26" s="162">
        <f t="shared" si="3"/>
        <v>1250785.5399252002</v>
      </c>
      <c r="J26" s="162">
        <f t="shared" si="3"/>
        <v>1275801.250723704</v>
      </c>
      <c r="K26" s="162">
        <f t="shared" si="3"/>
        <v>1301317.2757381778</v>
      </c>
      <c r="L26" s="162">
        <f t="shared" si="3"/>
        <v>1327343.6212529417</v>
      </c>
      <c r="M26" s="162">
        <f t="shared" si="3"/>
        <v>2279966.443045089</v>
      </c>
    </row>
    <row r="27" spans="1:15" ht="16" thickTop="1" x14ac:dyDescent="0.35">
      <c r="D27" s="163"/>
      <c r="E27" s="163"/>
      <c r="F27" s="163"/>
      <c r="G27" s="163"/>
      <c r="H27" s="163"/>
      <c r="I27" s="163"/>
      <c r="J27" s="163"/>
      <c r="K27" s="163"/>
      <c r="L27" s="163"/>
      <c r="M27" s="163"/>
    </row>
    <row r="28" spans="1:15" x14ac:dyDescent="0.35">
      <c r="A28" s="132" t="s">
        <v>153</v>
      </c>
      <c r="C28" s="164">
        <f>C6-(C6*C13)</f>
        <v>727609.99</v>
      </c>
      <c r="D28" s="163"/>
      <c r="E28" s="163"/>
      <c r="F28" s="163"/>
      <c r="G28" s="163"/>
      <c r="H28" s="163"/>
      <c r="I28" s="163"/>
      <c r="J28" s="163"/>
      <c r="K28" s="163"/>
      <c r="L28" s="163"/>
      <c r="M28" s="163"/>
    </row>
    <row r="29" spans="1:15" x14ac:dyDescent="0.35">
      <c r="A29" s="132" t="s">
        <v>154</v>
      </c>
      <c r="D29" s="160">
        <f>+(($G$4*$G$6+$H$4*$H$6))*D23</f>
        <v>493549.00555555552</v>
      </c>
      <c r="E29" s="160">
        <f>+(($G$4*$G$6+$H$4*$H$6)*(1+$C$10)^D22)*E23</f>
        <v>755129.97849999997</v>
      </c>
      <c r="F29" s="160">
        <f t="shared" ref="F29:M29" si="4">+(($G$4*$G$6+$H$4*$H$6)*(1+$C$10)^E22)*F23</f>
        <v>924279.09368399985</v>
      </c>
      <c r="G29" s="160">
        <f t="shared" si="4"/>
        <v>942764.67555767985</v>
      </c>
      <c r="H29" s="160">
        <f t="shared" si="4"/>
        <v>961619.96906883363</v>
      </c>
      <c r="I29" s="160">
        <f t="shared" si="4"/>
        <v>980852.36845021008</v>
      </c>
      <c r="J29" s="160">
        <f t="shared" si="4"/>
        <v>1000469.4158192145</v>
      </c>
      <c r="K29" s="160">
        <f t="shared" si="4"/>
        <v>1020478.8041355985</v>
      </c>
      <c r="L29" s="160">
        <f t="shared" si="4"/>
        <v>1040888.3802183106</v>
      </c>
      <c r="M29" s="160">
        <f t="shared" si="4"/>
        <v>1061706.1478226769</v>
      </c>
      <c r="N29" s="160"/>
      <c r="O29" s="160"/>
    </row>
    <row r="30" spans="1:15" x14ac:dyDescent="0.35">
      <c r="A30" s="132" t="s">
        <v>155</v>
      </c>
      <c r="D30" s="160">
        <f>G7+G8</f>
        <v>90052.934849999991</v>
      </c>
      <c r="E30" s="160">
        <f>D30*(1+$C$11)</f>
        <v>91853.993546999991</v>
      </c>
      <c r="F30" s="160">
        <f t="shared" ref="F30:M30" si="5">E30*(1+$C$11)</f>
        <v>93691.073417939988</v>
      </c>
      <c r="G30" s="160">
        <f t="shared" si="5"/>
        <v>95564.894886298789</v>
      </c>
      <c r="H30" s="160">
        <f t="shared" si="5"/>
        <v>97476.192784024766</v>
      </c>
      <c r="I30" s="160">
        <f t="shared" si="5"/>
        <v>99425.716639705264</v>
      </c>
      <c r="J30" s="160">
        <f t="shared" si="5"/>
        <v>101414.23097249937</v>
      </c>
      <c r="K30" s="160">
        <f t="shared" si="5"/>
        <v>103442.51559194936</v>
      </c>
      <c r="L30" s="160">
        <f t="shared" si="5"/>
        <v>105511.36590378835</v>
      </c>
      <c r="M30" s="160">
        <f t="shared" si="5"/>
        <v>107621.59322186411</v>
      </c>
    </row>
    <row r="31" spans="1:15" x14ac:dyDescent="0.35">
      <c r="A31" s="132" t="s">
        <v>43</v>
      </c>
      <c r="B31" s="143"/>
      <c r="D31" s="160">
        <f t="shared" ref="D31:M31" si="6">+$F$11*D18+$F$12*D19+$F$13*D20</f>
        <v>55729.464921291132</v>
      </c>
      <c r="E31" s="160">
        <f t="shared" si="6"/>
        <v>74474.987237291134</v>
      </c>
      <c r="F31" s="160">
        <f t="shared" si="6"/>
        <v>64585.968057291131</v>
      </c>
      <c r="G31" s="160">
        <f t="shared" si="6"/>
        <v>59079.852613291136</v>
      </c>
      <c r="H31" s="160">
        <f t="shared" si="6"/>
        <v>59079.852613291136</v>
      </c>
      <c r="I31" s="160">
        <f t="shared" si="6"/>
        <v>79071.852613291136</v>
      </c>
      <c r="J31" s="160">
        <f t="shared" si="6"/>
        <v>54081.852613291136</v>
      </c>
      <c r="K31" s="160">
        <f t="shared" si="6"/>
        <v>42746.389837291135</v>
      </c>
      <c r="L31" s="160">
        <f t="shared" si="6"/>
        <v>31392.405063291139</v>
      </c>
      <c r="M31" s="160">
        <f t="shared" si="6"/>
        <v>31392.405063291139</v>
      </c>
    </row>
    <row r="32" spans="1:15" x14ac:dyDescent="0.35">
      <c r="A32" s="132" t="s">
        <v>78</v>
      </c>
      <c r="B32" s="134"/>
      <c r="D32" s="160">
        <f>IF(D22&lt;=$C$17,-IPMT($C$14,D22,$C$17,$C$6*$C$13,0),0)</f>
        <v>36380.499499999998</v>
      </c>
      <c r="E32" s="160">
        <f t="shared" ref="E32:M32" si="7">IF(E22&lt;=$C$17,-IPMT($C$14,E22,$C$17,$C$6*$C$13,0),0)</f>
        <v>34694.543928803032</v>
      </c>
      <c r="F32" s="160">
        <f t="shared" si="7"/>
        <v>32924.29057904621</v>
      </c>
      <c r="G32" s="160">
        <f t="shared" si="7"/>
        <v>31065.524561801543</v>
      </c>
      <c r="H32" s="160">
        <f t="shared" si="7"/>
        <v>29113.820243694659</v>
      </c>
      <c r="I32" s="160">
        <f t="shared" si="7"/>
        <v>27064.530709682425</v>
      </c>
      <c r="J32" s="160">
        <f t="shared" si="7"/>
        <v>24912.776698969566</v>
      </c>
      <c r="K32" s="160">
        <f t="shared" si="7"/>
        <v>22653.434987721077</v>
      </c>
      <c r="L32" s="160">
        <f t="shared" si="7"/>
        <v>20281.126190910159</v>
      </c>
      <c r="M32" s="160">
        <f t="shared" si="7"/>
        <v>17790.20195425869</v>
      </c>
    </row>
    <row r="33" spans="1:14" x14ac:dyDescent="0.35">
      <c r="A33" s="132" t="s">
        <v>156</v>
      </c>
      <c r="D33" s="160">
        <f t="shared" ref="D33:M33" si="8">IF(D22&lt;=$C$17,+$G9-D32,0)</f>
        <v>33719.11142393943</v>
      </c>
      <c r="E33" s="160">
        <f t="shared" si="8"/>
        <v>35405.066995136396</v>
      </c>
      <c r="F33" s="160">
        <f t="shared" si="8"/>
        <v>37175.320344893218</v>
      </c>
      <c r="G33" s="160">
        <f t="shared" si="8"/>
        <v>39034.086362137881</v>
      </c>
      <c r="H33" s="160">
        <f t="shared" si="8"/>
        <v>40985.790680244769</v>
      </c>
      <c r="I33" s="160">
        <f t="shared" si="8"/>
        <v>43035.080214257003</v>
      </c>
      <c r="J33" s="160">
        <f t="shared" si="8"/>
        <v>45186.834224969862</v>
      </c>
      <c r="K33" s="160">
        <f t="shared" si="8"/>
        <v>47446.175936218351</v>
      </c>
      <c r="L33" s="160">
        <f t="shared" si="8"/>
        <v>49818.484733029269</v>
      </c>
      <c r="M33" s="160">
        <f t="shared" si="8"/>
        <v>52309.408969680735</v>
      </c>
    </row>
    <row r="34" spans="1:14" x14ac:dyDescent="0.35">
      <c r="A34" s="134" t="s">
        <v>157</v>
      </c>
      <c r="D34" s="163"/>
      <c r="E34" s="163"/>
      <c r="F34" s="163"/>
      <c r="G34" s="163"/>
      <c r="H34" s="163"/>
      <c r="I34" s="163"/>
      <c r="J34" s="163"/>
      <c r="K34" s="163"/>
      <c r="L34" s="163"/>
      <c r="M34" s="160">
        <f>+C8</f>
        <v>303494.6301154932</v>
      </c>
      <c r="N34" s="165"/>
    </row>
    <row r="35" spans="1:14" x14ac:dyDescent="0.35">
      <c r="A35" s="132" t="s">
        <v>158</v>
      </c>
      <c r="D35" s="160">
        <f>D26-D29-D30-D31-D32</f>
        <v>-46336.904826846636</v>
      </c>
      <c r="E35" s="160">
        <f t="shared" ref="E35:L35" si="9">E26-E29-E30-E31-E32</f>
        <v>6790.2467869058746</v>
      </c>
      <c r="F35" s="160">
        <f t="shared" si="9"/>
        <v>63162.724261722949</v>
      </c>
      <c r="G35" s="160">
        <f t="shared" si="9"/>
        <v>73741.06538092847</v>
      </c>
      <c r="H35" s="160">
        <f t="shared" si="9"/>
        <v>78970.498550155811</v>
      </c>
      <c r="I35" s="160">
        <f t="shared" si="9"/>
        <v>64371.07151231126</v>
      </c>
      <c r="J35" s="160">
        <f t="shared" si="9"/>
        <v>94922.974619729401</v>
      </c>
      <c r="K35" s="160">
        <f t="shared" si="9"/>
        <v>111996.13118561778</v>
      </c>
      <c r="L35" s="160">
        <f t="shared" si="9"/>
        <v>129270.34387664137</v>
      </c>
      <c r="M35" s="160">
        <f>M26-(C6-SUM(D31:M31))-M29-M30-M31-M32</f>
        <v>157871.14561590942</v>
      </c>
    </row>
    <row r="36" spans="1:14" x14ac:dyDescent="0.35">
      <c r="A36" s="132" t="s">
        <v>159</v>
      </c>
      <c r="D36" s="160">
        <f t="shared" ref="D36:M36" si="10">D35*$C$12</f>
        <v>-16217.916689396321</v>
      </c>
      <c r="E36" s="160">
        <f t="shared" si="10"/>
        <v>2376.5863754170559</v>
      </c>
      <c r="F36" s="160">
        <f t="shared" si="10"/>
        <v>22106.953491603032</v>
      </c>
      <c r="G36" s="160">
        <f t="shared" si="10"/>
        <v>25809.372883324962</v>
      </c>
      <c r="H36" s="160">
        <f t="shared" si="10"/>
        <v>27639.674492554532</v>
      </c>
      <c r="I36" s="160">
        <f t="shared" si="10"/>
        <v>22529.87502930894</v>
      </c>
      <c r="J36" s="160">
        <f t="shared" si="10"/>
        <v>33223.04111690529</v>
      </c>
      <c r="K36" s="160">
        <f t="shared" si="10"/>
        <v>39198.645914966219</v>
      </c>
      <c r="L36" s="160">
        <f t="shared" si="10"/>
        <v>45244.620356824482</v>
      </c>
      <c r="M36" s="160">
        <f t="shared" si="10"/>
        <v>55254.900965568297</v>
      </c>
    </row>
    <row r="37" spans="1:14" x14ac:dyDescent="0.35">
      <c r="A37" s="132" t="s">
        <v>160</v>
      </c>
      <c r="C37" s="166"/>
      <c r="D37" s="167">
        <f>D29+D30+D32+D33+D36</f>
        <v>637483.63464009867</v>
      </c>
      <c r="E37" s="167">
        <f t="shared" ref="E37:L37" si="11">E29+E30+E32+E33+E36</f>
        <v>919460.16934635653</v>
      </c>
      <c r="F37" s="167">
        <f t="shared" si="11"/>
        <v>1110176.7315174823</v>
      </c>
      <c r="G37" s="167">
        <f t="shared" si="11"/>
        <v>1134238.5542512431</v>
      </c>
      <c r="H37" s="167">
        <f t="shared" si="11"/>
        <v>1156835.4472693524</v>
      </c>
      <c r="I37" s="167">
        <f t="shared" si="11"/>
        <v>1172907.5710431638</v>
      </c>
      <c r="J37" s="167">
        <f t="shared" si="11"/>
        <v>1205206.2988325588</v>
      </c>
      <c r="K37" s="167">
        <f t="shared" si="11"/>
        <v>1233219.5765664536</v>
      </c>
      <c r="L37" s="167">
        <f t="shared" si="11"/>
        <v>1261743.9774028629</v>
      </c>
      <c r="M37" s="168">
        <f>M29+M30+M32+M33+M34+M36</f>
        <v>1598176.8830495421</v>
      </c>
    </row>
    <row r="38" spans="1:14" ht="16" thickBot="1" x14ac:dyDescent="0.4">
      <c r="A38" s="132" t="s">
        <v>161</v>
      </c>
      <c r="C38" s="161">
        <f>-C28</f>
        <v>-727609.99</v>
      </c>
      <c r="D38" s="169">
        <f t="shared" ref="D38:M38" si="12">D26-D37</f>
        <v>-8108.6346400986658</v>
      </c>
      <c r="E38" s="169">
        <f t="shared" si="12"/>
        <v>43483.580653643468</v>
      </c>
      <c r="F38" s="169">
        <f t="shared" si="12"/>
        <v>68466.418482517824</v>
      </c>
      <c r="G38" s="162">
        <f t="shared" si="12"/>
        <v>67977.458748756675</v>
      </c>
      <c r="H38" s="162">
        <f t="shared" si="12"/>
        <v>69424.885990647599</v>
      </c>
      <c r="I38" s="162">
        <f t="shared" si="12"/>
        <v>77877.968882036395</v>
      </c>
      <c r="J38" s="162">
        <f t="shared" si="12"/>
        <v>70594.951891145203</v>
      </c>
      <c r="K38" s="162">
        <f t="shared" si="12"/>
        <v>68097.699171724264</v>
      </c>
      <c r="L38" s="162">
        <f t="shared" si="12"/>
        <v>65599.643850078806</v>
      </c>
      <c r="M38" s="162">
        <f t="shared" si="12"/>
        <v>681789.55999554694</v>
      </c>
    </row>
    <row r="39" spans="1:14" ht="16" thickTop="1" x14ac:dyDescent="0.35">
      <c r="D39" s="163"/>
      <c r="E39" s="163"/>
      <c r="F39" s="163"/>
      <c r="G39" s="163"/>
      <c r="H39" s="163"/>
      <c r="I39" s="163"/>
      <c r="J39" s="163"/>
      <c r="K39" s="163"/>
      <c r="L39" s="163"/>
      <c r="M39" s="163"/>
    </row>
    <row r="40" spans="1:14" x14ac:dyDescent="0.35">
      <c r="A40" s="132" t="s">
        <v>162</v>
      </c>
      <c r="B40" s="143"/>
      <c r="C40" s="164">
        <f>C6*C13</f>
        <v>727609.99</v>
      </c>
      <c r="D40" s="164">
        <f t="shared" ref="D40:M40" si="13">C40-D33</f>
        <v>693890.87857606052</v>
      </c>
      <c r="E40" s="164">
        <f t="shared" si="13"/>
        <v>658485.81158092408</v>
      </c>
      <c r="F40" s="164">
        <f t="shared" si="13"/>
        <v>621310.49123603082</v>
      </c>
      <c r="G40" s="164">
        <f t="shared" si="13"/>
        <v>582276.4048738929</v>
      </c>
      <c r="H40" s="164">
        <f t="shared" si="13"/>
        <v>541290.6141936481</v>
      </c>
      <c r="I40" s="164">
        <f t="shared" si="13"/>
        <v>498255.5339793911</v>
      </c>
      <c r="J40" s="164">
        <f t="shared" si="13"/>
        <v>453068.69975442125</v>
      </c>
      <c r="K40" s="164">
        <f t="shared" si="13"/>
        <v>405622.5238182029</v>
      </c>
      <c r="L40" s="164">
        <f t="shared" si="13"/>
        <v>355804.03908517363</v>
      </c>
      <c r="M40" s="164">
        <f t="shared" si="13"/>
        <v>303494.63011549291</v>
      </c>
    </row>
    <row r="41" spans="1:14" x14ac:dyDescent="0.35">
      <c r="A41" s="132" t="s">
        <v>163</v>
      </c>
      <c r="C41" s="164">
        <f>+C38</f>
        <v>-727609.99</v>
      </c>
      <c r="D41" s="164">
        <f t="shared" ref="D41:M41" si="14">+C41+D38</f>
        <v>-735718.62464009866</v>
      </c>
      <c r="E41" s="164">
        <f t="shared" si="14"/>
        <v>-692235.04398645519</v>
      </c>
      <c r="F41" s="164">
        <f t="shared" si="14"/>
        <v>-623768.62550393736</v>
      </c>
      <c r="G41" s="164">
        <f t="shared" si="14"/>
        <v>-555791.16675518069</v>
      </c>
      <c r="H41" s="164">
        <f t="shared" si="14"/>
        <v>-486366.28076453309</v>
      </c>
      <c r="I41" s="164">
        <f t="shared" si="14"/>
        <v>-408488.3118824967</v>
      </c>
      <c r="J41" s="164">
        <f t="shared" si="14"/>
        <v>-337893.35999135149</v>
      </c>
      <c r="K41" s="164">
        <f t="shared" si="14"/>
        <v>-269795.66081962723</v>
      </c>
      <c r="L41" s="164">
        <f t="shared" si="14"/>
        <v>-204196.01696954842</v>
      </c>
      <c r="M41" s="164">
        <f t="shared" si="14"/>
        <v>477593.54302599852</v>
      </c>
    </row>
    <row r="42" spans="1:14" x14ac:dyDescent="0.35">
      <c r="A42" s="134"/>
      <c r="E42" s="163"/>
      <c r="F42" s="163"/>
      <c r="G42" s="163"/>
      <c r="H42" s="163"/>
      <c r="I42" s="163"/>
      <c r="J42" s="163"/>
      <c r="K42" s="163"/>
      <c r="L42" s="163"/>
      <c r="M42" s="163"/>
      <c r="N42" s="163"/>
    </row>
    <row r="43" spans="1:14" x14ac:dyDescent="0.35">
      <c r="A43" s="134"/>
      <c r="E43" s="163"/>
      <c r="F43" s="163"/>
      <c r="G43" s="163"/>
      <c r="H43" s="163"/>
      <c r="I43" s="163"/>
      <c r="J43" s="163"/>
      <c r="K43" s="163"/>
      <c r="L43" s="163"/>
      <c r="M43" s="163"/>
      <c r="N43" s="163"/>
    </row>
    <row r="44" spans="1:14" x14ac:dyDescent="0.35">
      <c r="E44" s="163"/>
      <c r="F44" s="163"/>
      <c r="G44" s="163"/>
      <c r="H44" s="163"/>
      <c r="I44" s="163"/>
      <c r="J44" s="163"/>
      <c r="K44" s="163"/>
      <c r="L44" s="163"/>
      <c r="M44" s="163"/>
      <c r="N44" s="163"/>
    </row>
    <row r="45" spans="1:14" x14ac:dyDescent="0.35">
      <c r="A45" s="134"/>
    </row>
    <row r="46" spans="1:14" x14ac:dyDescent="0.35">
      <c r="A46" s="134"/>
    </row>
    <row r="47" spans="1:14" x14ac:dyDescent="0.35">
      <c r="A47" s="134"/>
      <c r="D47" s="170"/>
    </row>
    <row r="48" spans="1:14" x14ac:dyDescent="0.35">
      <c r="A48" s="134"/>
      <c r="D48" s="170"/>
    </row>
    <row r="49" spans="1:4" x14ac:dyDescent="0.35">
      <c r="A49" s="134"/>
    </row>
    <row r="50" spans="1:4" x14ac:dyDescent="0.35">
      <c r="A50" s="134"/>
      <c r="D50" s="170"/>
    </row>
    <row r="51" spans="1:4" x14ac:dyDescent="0.35">
      <c r="A51" s="134"/>
      <c r="D51" s="170"/>
    </row>
    <row r="52" spans="1:4" x14ac:dyDescent="0.35">
      <c r="A52" s="134"/>
      <c r="D52" s="170"/>
    </row>
    <row r="53" spans="1:4" x14ac:dyDescent="0.35">
      <c r="A53" s="134"/>
      <c r="D53" s="143"/>
    </row>
  </sheetData>
  <pageMargins left="0.34" right="0.4" top="1" bottom="1" header="0.5" footer="0.5"/>
  <pageSetup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Readme</vt:lpstr>
      <vt:lpstr>Budget</vt:lpstr>
      <vt:lpstr>Initial Costs</vt:lpstr>
      <vt:lpstr>Small Tools</vt:lpstr>
      <vt:lpstr>profit sensitivity</vt:lpstr>
      <vt:lpstr>30 year</vt:lpstr>
      <vt:lpstr>20 year</vt:lpstr>
      <vt:lpstr>10 year</vt:lpstr>
    </vt:vector>
  </TitlesOfParts>
  <Company>Utah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Haden Davis</dc:creator>
  <cp:lastModifiedBy>Ruby Ward</cp:lastModifiedBy>
  <dcterms:created xsi:type="dcterms:W3CDTF">2020-08-24T16:22:54Z</dcterms:created>
  <dcterms:modified xsi:type="dcterms:W3CDTF">2021-01-21T02:24:05Z</dcterms:modified>
</cp:coreProperties>
</file>