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370" activeTab="0"/>
  </bookViews>
  <sheets>
    <sheet name="North" sheetId="1" r:id="rId1"/>
  </sheets>
  <definedNames>
    <definedName name="_xlnm.Print_Area" localSheetId="0">'North'!$A$1:$M$97</definedName>
  </definedNames>
  <calcPr fullCalcOnLoad="1"/>
</workbook>
</file>

<file path=xl/sharedStrings.xml><?xml version="1.0" encoding="utf-8"?>
<sst xmlns="http://schemas.openxmlformats.org/spreadsheetml/2006/main" count="125" uniqueCount="93">
  <si>
    <t>head</t>
  </si>
  <si>
    <t>Assumptions</t>
  </si>
  <si>
    <t xml:space="preserve">Percentage of cows to wean a calf </t>
  </si>
  <si>
    <t>Percent death loss of cows</t>
  </si>
  <si>
    <t>Cost of replacement stock (heifers and bulls) @market value</t>
  </si>
  <si>
    <t>Cull Cow rate</t>
  </si>
  <si>
    <t>Bull replacement rate</t>
  </si>
  <si>
    <t>Feed costs at market value</t>
  </si>
  <si>
    <t>All calves sold. Some may be sold to another enterprise.</t>
  </si>
  <si>
    <t>Cows per Bull</t>
  </si>
  <si>
    <t>Number of months grazed</t>
  </si>
  <si>
    <t>BLM land</t>
  </si>
  <si>
    <t>Forest Service</t>
  </si>
  <si>
    <t>Private</t>
  </si>
  <si>
    <t>Number of months feed hay</t>
  </si>
  <si>
    <t>Animals sold in the fall</t>
  </si>
  <si>
    <t>No. of Animals</t>
  </si>
  <si>
    <t>Average Weight</t>
  </si>
  <si>
    <t>Units</t>
  </si>
  <si>
    <t>Sale Price per Unit</t>
  </si>
  <si>
    <t>Value/cow</t>
  </si>
  <si>
    <t>Total Value</t>
  </si>
  <si>
    <t>Reciepts</t>
  </si>
  <si>
    <t>Steers</t>
  </si>
  <si>
    <t>lbs</t>
  </si>
  <si>
    <t>Heifers</t>
  </si>
  <si>
    <t>Cull Cows</t>
  </si>
  <si>
    <t>Cull Bulls</t>
  </si>
  <si>
    <t>Total</t>
  </si>
  <si>
    <t>Expenses</t>
  </si>
  <si>
    <t>Units/cow</t>
  </si>
  <si>
    <t>Total Units</t>
  </si>
  <si>
    <t>Cost per Unit</t>
  </si>
  <si>
    <t>Cost/Cow</t>
  </si>
  <si>
    <t>Total Costs</t>
  </si>
  <si>
    <t>Variable Costs</t>
  </si>
  <si>
    <t>Feed Expense</t>
  </si>
  <si>
    <t>Grass Hay</t>
  </si>
  <si>
    <t>tons</t>
  </si>
  <si>
    <t>Alfalfa Hay</t>
  </si>
  <si>
    <t>Salt and Mineral</t>
  </si>
  <si>
    <t>BLM permit*</t>
  </si>
  <si>
    <t>Grazing Fees</t>
  </si>
  <si>
    <t>AUMs</t>
  </si>
  <si>
    <t>Non fee costs</t>
  </si>
  <si>
    <t>Forest grazing permit*</t>
  </si>
  <si>
    <t>Private Pasture Lease*</t>
  </si>
  <si>
    <t>Other</t>
  </si>
  <si>
    <t>Reproduction Costs</t>
  </si>
  <si>
    <t>AI project</t>
  </si>
  <si>
    <t>heifer</t>
  </si>
  <si>
    <t>Breeding Bulls</t>
  </si>
  <si>
    <t>bull</t>
  </si>
  <si>
    <t>Replacement heifers/cows*</t>
  </si>
  <si>
    <t>Animal Health</t>
  </si>
  <si>
    <t>Veterinarian service</t>
  </si>
  <si>
    <t>cow</t>
  </si>
  <si>
    <t>Medication &amp; supplies</t>
  </si>
  <si>
    <t>Vaccinations-cow</t>
  </si>
  <si>
    <t>Vaccinations-calf</t>
  </si>
  <si>
    <t>calf</t>
  </si>
  <si>
    <t>Bull testing &amp;vaccine</t>
  </si>
  <si>
    <t>Hired Labor</t>
  </si>
  <si>
    <t>Calving season</t>
  </si>
  <si>
    <t>hrs</t>
  </si>
  <si>
    <t>General Feeding</t>
  </si>
  <si>
    <t>Cattle handling &amp; care</t>
  </si>
  <si>
    <t>Marketing and Transportation</t>
  </si>
  <si>
    <t>Transportation</t>
  </si>
  <si>
    <t>yr.</t>
  </si>
  <si>
    <t>Sale Commission</t>
  </si>
  <si>
    <t>Total Variable Costs</t>
  </si>
  <si>
    <t>General Overhead Cost</t>
  </si>
  <si>
    <t>Facility Maintenance</t>
  </si>
  <si>
    <t>Fuel &amp; lube</t>
  </si>
  <si>
    <t>Machinery</t>
  </si>
  <si>
    <t>Vehicles &amp; trailers</t>
  </si>
  <si>
    <t>Animal death insurance</t>
  </si>
  <si>
    <t>Depreciation-machinery &amp; vehicles</t>
  </si>
  <si>
    <t>Property taxes</t>
  </si>
  <si>
    <t>Miscellaneous</t>
  </si>
  <si>
    <t>General Overhead Costs</t>
  </si>
  <si>
    <t>NET INCOME</t>
  </si>
  <si>
    <r>
      <t xml:space="preserve">* </t>
    </r>
    <r>
      <rPr>
        <sz val="10"/>
        <rFont val="Arial"/>
        <family val="2"/>
      </rPr>
      <t>This figure is including bull grazing</t>
    </r>
  </si>
  <si>
    <r>
      <t xml:space="preserve">* </t>
    </r>
    <r>
      <rPr>
        <sz val="10"/>
        <rFont val="Arial"/>
        <family val="2"/>
      </rPr>
      <t>Heifers are replaced at cull cow rate plus death loss</t>
    </r>
  </si>
  <si>
    <t>Change the values highlighted in the yellow cells</t>
  </si>
  <si>
    <t>to reflect your production levels and your costs.</t>
  </si>
  <si>
    <t xml:space="preserve">  Not all months are at full feed or strictly grazing</t>
  </si>
  <si>
    <r>
      <t>U</t>
    </r>
    <r>
      <rPr>
        <sz val="10"/>
        <rFont val="Arial"/>
        <family val="0"/>
      </rPr>
      <t>tah</t>
    </r>
    <r>
      <rPr>
        <b/>
        <sz val="10"/>
        <rFont val="Arial"/>
        <family val="2"/>
      </rPr>
      <t xml:space="preserve"> S</t>
    </r>
    <r>
      <rPr>
        <sz val="10"/>
        <rFont val="Arial"/>
        <family val="0"/>
      </rPr>
      <t>tate</t>
    </r>
    <r>
      <rPr>
        <b/>
        <sz val="10"/>
        <rFont val="Arial"/>
        <family val="2"/>
      </rPr>
      <t xml:space="preserve"> 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</si>
  <si>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conomics</t>
    </r>
  </si>
  <si>
    <t>Updated May 2007</t>
  </si>
  <si>
    <t>Budget prepared by: Dillon M. Feuz, E. Bruce Godfrey, Matt Hirschi and Darrell Rothlisberger</t>
  </si>
  <si>
    <t>Costs and Returns per cow and total for typical Rich County Cow-Calf Ranch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</si>
</sst>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"/>
    <numFmt numFmtId="178" formatCode="#,##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left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>
      <alignment horizontal="right"/>
    </xf>
    <xf numFmtId="9" fontId="0" fillId="2" borderId="0" xfId="21" applyFill="1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tabSelected="1" workbookViewId="0" topLeftCell="A1">
      <selection activeCell="F1" sqref="F1"/>
    </sheetView>
  </sheetViews>
  <sheetFormatPr defaultColWidth="9.140625" defaultRowHeight="12.75"/>
  <cols>
    <col min="1" max="1" width="8.00390625" style="0" customWidth="1"/>
    <col min="2" max="2" width="3.140625" style="0" customWidth="1"/>
    <col min="3" max="3" width="2.421875" style="0" customWidth="1"/>
    <col min="4" max="4" width="4.140625" style="0" customWidth="1"/>
    <col min="6" max="6" width="10.00390625" style="0" customWidth="1"/>
    <col min="7" max="7" width="9.00390625" style="0" customWidth="1"/>
    <col min="8" max="8" width="13.57421875" style="0" customWidth="1"/>
    <col min="9" max="9" width="14.140625" style="0" bestFit="1" customWidth="1"/>
    <col min="10" max="10" width="8.421875" style="2" customWidth="1"/>
    <col min="11" max="11" width="16.7109375" style="3" bestFit="1" customWidth="1"/>
    <col min="12" max="12" width="10.57421875" style="0" customWidth="1"/>
    <col min="13" max="13" width="12.140625" style="0" customWidth="1"/>
    <col min="14" max="14" width="11.140625" style="0" bestFit="1" customWidth="1"/>
  </cols>
  <sheetData>
    <row r="1" ht="12.75">
      <c r="A1" s="1" t="s">
        <v>88</v>
      </c>
    </row>
    <row r="2" ht="12.75">
      <c r="A2" s="1" t="s">
        <v>89</v>
      </c>
    </row>
    <row r="3" spans="2:11" ht="12.75">
      <c r="B3" s="1" t="s">
        <v>92</v>
      </c>
      <c r="C3" s="1"/>
      <c r="D3" s="1"/>
      <c r="E3" s="1"/>
      <c r="F3" s="1"/>
      <c r="G3" s="1"/>
      <c r="H3" s="1"/>
      <c r="I3" s="1"/>
      <c r="J3" s="28"/>
      <c r="K3" s="29"/>
    </row>
    <row r="4" spans="6:9" ht="12.75">
      <c r="F4" s="1" t="s">
        <v>90</v>
      </c>
      <c r="G4" s="1"/>
      <c r="H4" s="1"/>
      <c r="I4" s="1"/>
    </row>
    <row r="5" spans="6:9" ht="12.75">
      <c r="F5" s="1"/>
      <c r="G5" s="1"/>
      <c r="H5" s="1"/>
      <c r="I5" s="1"/>
    </row>
    <row r="6" spans="2:13" ht="12.75">
      <c r="B6" s="30"/>
      <c r="C6" s="31"/>
      <c r="D6" s="31"/>
      <c r="E6" s="31"/>
      <c r="F6" s="31" t="s">
        <v>1</v>
      </c>
      <c r="G6" s="31"/>
      <c r="H6" s="31"/>
      <c r="I6" s="31"/>
      <c r="J6" s="32"/>
      <c r="K6" s="33"/>
      <c r="L6" s="31"/>
      <c r="M6" s="34"/>
    </row>
    <row r="7" spans="2:15" ht="12.75">
      <c r="B7" s="35"/>
      <c r="C7" s="36"/>
      <c r="D7" s="37">
        <v>400</v>
      </c>
      <c r="E7" s="36" t="s">
        <v>0</v>
      </c>
      <c r="F7" s="36"/>
      <c r="G7" s="36"/>
      <c r="H7" s="36"/>
      <c r="I7" s="36"/>
      <c r="J7" s="14"/>
      <c r="K7" s="15"/>
      <c r="L7" s="16"/>
      <c r="M7" s="38"/>
      <c r="N7" s="16"/>
      <c r="O7" s="17"/>
    </row>
    <row r="8" spans="2:15" ht="12.75">
      <c r="B8" s="35" t="s">
        <v>2</v>
      </c>
      <c r="C8" s="36"/>
      <c r="D8" s="36"/>
      <c r="E8" s="36"/>
      <c r="F8" s="36"/>
      <c r="G8" s="39">
        <v>0.85</v>
      </c>
      <c r="H8" s="36"/>
      <c r="I8" s="36"/>
      <c r="J8" s="19" t="s">
        <v>85</v>
      </c>
      <c r="K8" s="20"/>
      <c r="L8" s="21"/>
      <c r="M8" s="40"/>
      <c r="N8" s="17"/>
      <c r="O8" s="17"/>
    </row>
    <row r="9" spans="2:15" ht="12.75">
      <c r="B9" s="35" t="s">
        <v>3</v>
      </c>
      <c r="C9" s="36"/>
      <c r="D9" s="36"/>
      <c r="E9" s="36"/>
      <c r="F9" s="36"/>
      <c r="G9" s="39">
        <v>0.01</v>
      </c>
      <c r="H9" s="36"/>
      <c r="I9" s="36"/>
      <c r="J9" s="19" t="s">
        <v>86</v>
      </c>
      <c r="K9" s="20"/>
      <c r="L9" s="21"/>
      <c r="M9" s="40"/>
      <c r="N9" s="17"/>
      <c r="O9" s="17"/>
    </row>
    <row r="10" spans="2:15" ht="12.75">
      <c r="B10" s="35" t="s">
        <v>4</v>
      </c>
      <c r="C10" s="36"/>
      <c r="D10" s="36"/>
      <c r="E10" s="36"/>
      <c r="F10" s="36"/>
      <c r="G10" s="41"/>
      <c r="H10" s="36"/>
      <c r="I10" s="36"/>
      <c r="J10" s="14"/>
      <c r="K10" s="18"/>
      <c r="L10" s="17"/>
      <c r="M10" s="42"/>
      <c r="N10" s="17"/>
      <c r="O10" s="17"/>
    </row>
    <row r="11" spans="2:15" ht="12.75">
      <c r="B11" s="35" t="s">
        <v>5</v>
      </c>
      <c r="C11" s="36"/>
      <c r="D11" s="36"/>
      <c r="E11" s="36"/>
      <c r="F11" s="36"/>
      <c r="G11" s="39">
        <v>0.1</v>
      </c>
      <c r="H11" s="36"/>
      <c r="I11" s="36"/>
      <c r="J11" s="14"/>
      <c r="K11" s="18"/>
      <c r="L11" s="17"/>
      <c r="M11" s="42"/>
      <c r="N11" s="17"/>
      <c r="O11" s="17"/>
    </row>
    <row r="12" spans="2:13" ht="12.75">
      <c r="B12" s="35" t="s">
        <v>6</v>
      </c>
      <c r="C12" s="36"/>
      <c r="D12" s="36"/>
      <c r="E12" s="36"/>
      <c r="F12" s="36"/>
      <c r="G12" s="39">
        <v>0.25</v>
      </c>
      <c r="H12" s="36"/>
      <c r="I12" s="36"/>
      <c r="J12" s="43"/>
      <c r="K12" s="44"/>
      <c r="L12" s="36"/>
      <c r="M12" s="45"/>
    </row>
    <row r="13" spans="2:13" ht="12.75">
      <c r="B13" s="35" t="s">
        <v>7</v>
      </c>
      <c r="C13" s="36"/>
      <c r="D13" s="36"/>
      <c r="E13" s="36"/>
      <c r="F13" s="36"/>
      <c r="G13" s="41"/>
      <c r="H13" s="36"/>
      <c r="I13" s="36"/>
      <c r="J13" s="43"/>
      <c r="K13" s="44"/>
      <c r="L13" s="36"/>
      <c r="M13" s="45"/>
    </row>
    <row r="14" spans="2:13" ht="12.75">
      <c r="B14" s="35" t="s">
        <v>8</v>
      </c>
      <c r="C14" s="36"/>
      <c r="D14" s="36"/>
      <c r="E14" s="36"/>
      <c r="F14" s="36"/>
      <c r="G14" s="41"/>
      <c r="H14" s="36"/>
      <c r="I14" s="36"/>
      <c r="J14" s="43"/>
      <c r="K14" s="44"/>
      <c r="L14" s="36"/>
      <c r="M14" s="45"/>
    </row>
    <row r="15" spans="2:13" ht="12.75">
      <c r="B15" s="35" t="s">
        <v>9</v>
      </c>
      <c r="C15" s="36"/>
      <c r="D15" s="36"/>
      <c r="E15" s="36"/>
      <c r="F15" s="36"/>
      <c r="G15" s="46">
        <v>25</v>
      </c>
      <c r="H15" s="36"/>
      <c r="I15" s="36"/>
      <c r="J15" s="43"/>
      <c r="K15" s="44"/>
      <c r="L15" s="36"/>
      <c r="M15" s="45"/>
    </row>
    <row r="16" spans="2:13" ht="12.75">
      <c r="B16" s="35" t="s">
        <v>10</v>
      </c>
      <c r="C16" s="36"/>
      <c r="D16" s="36"/>
      <c r="E16" s="36"/>
      <c r="F16" s="36"/>
      <c r="G16" s="41"/>
      <c r="H16" s="36"/>
      <c r="I16" s="36"/>
      <c r="J16" s="43"/>
      <c r="K16" s="44"/>
      <c r="L16" s="36"/>
      <c r="M16" s="45"/>
    </row>
    <row r="17" spans="2:13" ht="12.75">
      <c r="B17" s="35"/>
      <c r="C17" s="36" t="s">
        <v>11</v>
      </c>
      <c r="D17" s="36"/>
      <c r="E17" s="36"/>
      <c r="F17" s="36"/>
      <c r="G17" s="46">
        <v>4</v>
      </c>
      <c r="H17" s="36"/>
      <c r="I17" s="36"/>
      <c r="J17" s="43"/>
      <c r="K17" s="44"/>
      <c r="L17" s="36"/>
      <c r="M17" s="45"/>
    </row>
    <row r="18" spans="2:13" ht="12.75">
      <c r="B18" s="35"/>
      <c r="C18" s="36" t="s">
        <v>12</v>
      </c>
      <c r="D18" s="36"/>
      <c r="E18" s="36"/>
      <c r="F18" s="36"/>
      <c r="G18" s="46">
        <v>0</v>
      </c>
      <c r="H18" s="36"/>
      <c r="I18" s="36"/>
      <c r="J18" s="43"/>
      <c r="K18" s="44"/>
      <c r="L18" s="36"/>
      <c r="M18" s="45"/>
    </row>
    <row r="19" spans="2:13" ht="12.75">
      <c r="B19" s="35"/>
      <c r="C19" s="36" t="s">
        <v>13</v>
      </c>
      <c r="D19" s="36"/>
      <c r="E19" s="36"/>
      <c r="F19" s="36"/>
      <c r="G19" s="46">
        <v>3</v>
      </c>
      <c r="H19" s="36"/>
      <c r="I19" s="36"/>
      <c r="J19" s="43"/>
      <c r="K19" s="44"/>
      <c r="L19" s="36"/>
      <c r="M19" s="45"/>
    </row>
    <row r="20" spans="2:13" ht="12.75">
      <c r="B20" s="35" t="s">
        <v>14</v>
      </c>
      <c r="C20" s="36"/>
      <c r="D20" s="36"/>
      <c r="E20" s="36"/>
      <c r="F20" s="36"/>
      <c r="G20" s="46">
        <v>6</v>
      </c>
      <c r="H20" s="36" t="s">
        <v>87</v>
      </c>
      <c r="I20" s="36"/>
      <c r="J20" s="43"/>
      <c r="K20" s="44"/>
      <c r="L20" s="36"/>
      <c r="M20" s="45"/>
    </row>
    <row r="21" spans="2:13" ht="12.75">
      <c r="B21" s="47" t="s">
        <v>15</v>
      </c>
      <c r="C21" s="48"/>
      <c r="D21" s="48"/>
      <c r="E21" s="48"/>
      <c r="F21" s="48"/>
      <c r="G21" s="48"/>
      <c r="H21" s="48"/>
      <c r="I21" s="48"/>
      <c r="J21" s="49"/>
      <c r="K21" s="50"/>
      <c r="L21" s="48"/>
      <c r="M21" s="51"/>
    </row>
    <row r="22" spans="2:13" ht="12.75">
      <c r="B22" s="36"/>
      <c r="C22" s="36"/>
      <c r="D22" s="36"/>
      <c r="E22" s="36"/>
      <c r="F22" s="36"/>
      <c r="G22" s="36"/>
      <c r="H22" s="36"/>
      <c r="I22" s="36"/>
      <c r="J22" s="43"/>
      <c r="K22" s="44"/>
      <c r="L22" s="36"/>
      <c r="M22" s="36"/>
    </row>
    <row r="23" spans="1:13" ht="12.75">
      <c r="A23" s="48"/>
      <c r="B23" s="48"/>
      <c r="C23" s="48"/>
      <c r="D23" s="48"/>
      <c r="E23" s="48"/>
      <c r="F23" s="48"/>
      <c r="G23" s="48"/>
      <c r="H23" s="52" t="s">
        <v>16</v>
      </c>
      <c r="I23" s="52" t="s">
        <v>17</v>
      </c>
      <c r="J23" s="52" t="s">
        <v>18</v>
      </c>
      <c r="K23" s="53" t="s">
        <v>19</v>
      </c>
      <c r="L23" s="52" t="s">
        <v>20</v>
      </c>
      <c r="M23" s="52" t="s">
        <v>21</v>
      </c>
    </row>
    <row r="24" ht="12.75">
      <c r="A24" s="1" t="s">
        <v>22</v>
      </c>
    </row>
    <row r="25" spans="4:14" ht="12.75">
      <c r="D25" t="s">
        <v>23</v>
      </c>
      <c r="H25">
        <f>D7*G8/2</f>
        <v>170</v>
      </c>
      <c r="I25" s="23">
        <v>525</v>
      </c>
      <c r="J25" s="2" t="s">
        <v>24</v>
      </c>
      <c r="K25" s="24">
        <v>1.1</v>
      </c>
      <c r="L25" s="3">
        <f>I25*K25*G8/2</f>
        <v>245.4375</v>
      </c>
      <c r="M25" s="3">
        <f>L25*$D$7</f>
        <v>98175</v>
      </c>
      <c r="N25" s="3"/>
    </row>
    <row r="26" spans="4:14" ht="12.75">
      <c r="D26" t="s">
        <v>25</v>
      </c>
      <c r="H26">
        <f>D7*G8/2</f>
        <v>170</v>
      </c>
      <c r="I26" s="23">
        <f>I25-40</f>
        <v>485</v>
      </c>
      <c r="J26" s="2" t="s">
        <v>24</v>
      </c>
      <c r="K26" s="24">
        <f>+K25-0.08</f>
        <v>1.02</v>
      </c>
      <c r="L26" s="3">
        <f>I26*K26*G8/2</f>
        <v>210.2475</v>
      </c>
      <c r="M26" s="3">
        <f>L26*$D$7</f>
        <v>84099</v>
      </c>
      <c r="N26" s="3"/>
    </row>
    <row r="27" spans="4:14" ht="12.75">
      <c r="D27" t="s">
        <v>26</v>
      </c>
      <c r="H27">
        <f>G11*D7</f>
        <v>40</v>
      </c>
      <c r="I27" s="23">
        <v>1100</v>
      </c>
      <c r="J27" s="2" t="s">
        <v>24</v>
      </c>
      <c r="K27" s="24">
        <v>0.45</v>
      </c>
      <c r="L27" s="3">
        <f>I27*K27*0.1</f>
        <v>49.5</v>
      </c>
      <c r="M27" s="3">
        <f>L27*$D$7</f>
        <v>19800</v>
      </c>
      <c r="N27" s="3"/>
    </row>
    <row r="28" spans="4:14" ht="12.75">
      <c r="D28" t="s">
        <v>27</v>
      </c>
      <c r="H28">
        <f>ROUNDUP((D7/G15)*G12,0)</f>
        <v>4</v>
      </c>
      <c r="I28" s="23">
        <v>1850</v>
      </c>
      <c r="J28" s="2" t="s">
        <v>24</v>
      </c>
      <c r="K28" s="24">
        <v>0.55</v>
      </c>
      <c r="L28" s="3">
        <f>I28*K28*0.01</f>
        <v>10.175</v>
      </c>
      <c r="M28" s="3">
        <f>L28*$D$7</f>
        <v>4070.0000000000005</v>
      </c>
      <c r="N28" s="3"/>
    </row>
    <row r="30" spans="3:14" ht="12.75">
      <c r="C30" s="1" t="s">
        <v>28</v>
      </c>
      <c r="L30" s="6">
        <f>SUM(L25:L29)</f>
        <v>515.36</v>
      </c>
      <c r="M30" s="6">
        <f>SUM(M25:M29)</f>
        <v>206144</v>
      </c>
      <c r="N30" s="6"/>
    </row>
    <row r="32" spans="1:13" ht="12.75">
      <c r="A32" s="1" t="s">
        <v>29</v>
      </c>
      <c r="H32" t="s">
        <v>30</v>
      </c>
      <c r="I32" s="4" t="s">
        <v>31</v>
      </c>
      <c r="J32" s="4" t="s">
        <v>18</v>
      </c>
      <c r="K32" s="5" t="s">
        <v>32</v>
      </c>
      <c r="L32" t="s">
        <v>33</v>
      </c>
      <c r="M32" s="4" t="s">
        <v>34</v>
      </c>
    </row>
    <row r="34" ht="12.75">
      <c r="B34" t="s">
        <v>35</v>
      </c>
    </row>
    <row r="35" ht="12.75">
      <c r="C35" t="s">
        <v>36</v>
      </c>
    </row>
    <row r="36" spans="4:14" ht="12.75">
      <c r="D36" t="s">
        <v>37</v>
      </c>
      <c r="H36" s="23">
        <v>2.5</v>
      </c>
      <c r="I36" s="9">
        <f>+H36*D$7</f>
        <v>1000</v>
      </c>
      <c r="J36" s="2" t="s">
        <v>38</v>
      </c>
      <c r="K36" s="24">
        <v>60</v>
      </c>
      <c r="L36" s="3">
        <f>H36*K36</f>
        <v>150</v>
      </c>
      <c r="M36" s="3">
        <f>L36*$D$7</f>
        <v>60000</v>
      </c>
      <c r="N36" s="3"/>
    </row>
    <row r="37" spans="4:14" ht="12.75">
      <c r="D37" t="s">
        <v>39</v>
      </c>
      <c r="H37" s="23">
        <v>0</v>
      </c>
      <c r="I37" s="9">
        <f>+H37*D7</f>
        <v>0</v>
      </c>
      <c r="J37" s="2" t="s">
        <v>38</v>
      </c>
      <c r="K37" s="24">
        <v>100</v>
      </c>
      <c r="L37" s="3">
        <f>H37*K37</f>
        <v>0</v>
      </c>
      <c r="M37" s="3">
        <f>L37*$D$7</f>
        <v>0</v>
      </c>
      <c r="N37" s="3"/>
    </row>
    <row r="38" spans="4:14" ht="12.75">
      <c r="D38" t="s">
        <v>40</v>
      </c>
      <c r="H38" s="23">
        <v>0.01</v>
      </c>
      <c r="I38">
        <f>H38*D7</f>
        <v>4</v>
      </c>
      <c r="J38" s="2" t="s">
        <v>38</v>
      </c>
      <c r="K38" s="24">
        <v>125</v>
      </c>
      <c r="L38" s="3">
        <f>H38*K38</f>
        <v>1.25</v>
      </c>
      <c r="M38" s="3">
        <f>L38*$D$7</f>
        <v>500</v>
      </c>
      <c r="N38" s="3"/>
    </row>
    <row r="39" spans="4:14" ht="12.75">
      <c r="D39" t="s">
        <v>41</v>
      </c>
      <c r="K39" s="25"/>
      <c r="L39" s="3"/>
      <c r="M39" s="3"/>
      <c r="N39" s="3"/>
    </row>
    <row r="40" spans="5:14" ht="12.75">
      <c r="E40" t="s">
        <v>42</v>
      </c>
      <c r="H40">
        <f>318/300</f>
        <v>1.06</v>
      </c>
      <c r="I40">
        <f>H40*$G$17*$D$7</f>
        <v>1696</v>
      </c>
      <c r="J40" s="2" t="s">
        <v>43</v>
      </c>
      <c r="K40" s="24">
        <v>1.35</v>
      </c>
      <c r="L40" s="3">
        <f>H40*K40*G17</f>
        <v>5.724000000000001</v>
      </c>
      <c r="M40" s="3">
        <f>L40*$D$7</f>
        <v>2289.6000000000004</v>
      </c>
      <c r="N40" s="3"/>
    </row>
    <row r="41" spans="5:14" ht="12.75">
      <c r="E41" t="s">
        <v>44</v>
      </c>
      <c r="H41">
        <f>318/300</f>
        <v>1.06</v>
      </c>
      <c r="I41">
        <f>H41*$G$17*$D$7</f>
        <v>1696</v>
      </c>
      <c r="J41" s="2" t="s">
        <v>43</v>
      </c>
      <c r="K41" s="24">
        <v>12</v>
      </c>
      <c r="L41" s="3">
        <f>H41*K41*G17</f>
        <v>50.88</v>
      </c>
      <c r="M41" s="3">
        <f>L41*$D$7</f>
        <v>20352</v>
      </c>
      <c r="N41" s="3"/>
    </row>
    <row r="42" spans="4:14" ht="12.75">
      <c r="D42" t="s">
        <v>45</v>
      </c>
      <c r="K42" s="25"/>
      <c r="L42" s="3"/>
      <c r="M42" s="3"/>
      <c r="N42" s="3"/>
    </row>
    <row r="43" spans="5:14" ht="12.75">
      <c r="E43" t="s">
        <v>42</v>
      </c>
      <c r="H43">
        <v>1.06</v>
      </c>
      <c r="I43">
        <f>H43*$G$18*$D$7</f>
        <v>0</v>
      </c>
      <c r="J43" s="2" t="s">
        <v>43</v>
      </c>
      <c r="K43" s="24">
        <v>1.35</v>
      </c>
      <c r="L43" s="3">
        <f>H43*K43*G18</f>
        <v>0</v>
      </c>
      <c r="M43" s="3">
        <f>L43*$D$7</f>
        <v>0</v>
      </c>
      <c r="N43" s="3"/>
    </row>
    <row r="44" spans="5:14" ht="12.75">
      <c r="E44" t="s">
        <v>44</v>
      </c>
      <c r="H44">
        <v>1.06</v>
      </c>
      <c r="I44">
        <f>H44*$G$18*$D$7</f>
        <v>0</v>
      </c>
      <c r="J44" s="2" t="s">
        <v>43</v>
      </c>
      <c r="K44" s="24">
        <v>9</v>
      </c>
      <c r="L44" s="3">
        <f>H44*K44*G18</f>
        <v>0</v>
      </c>
      <c r="M44" s="3">
        <f>L44*$D$7</f>
        <v>0</v>
      </c>
      <c r="N44" s="3"/>
    </row>
    <row r="45" spans="4:14" ht="12.75">
      <c r="D45" t="s">
        <v>46</v>
      </c>
      <c r="H45">
        <f>530/500</f>
        <v>1.06</v>
      </c>
      <c r="I45">
        <f>H45*$G$19*$D$7</f>
        <v>1272</v>
      </c>
      <c r="J45" s="2" t="s">
        <v>43</v>
      </c>
      <c r="K45" s="24">
        <v>12</v>
      </c>
      <c r="L45" s="7">
        <f>H45*K45*G19</f>
        <v>38.160000000000004</v>
      </c>
      <c r="M45" s="3">
        <f>L45*$D$7</f>
        <v>15264.000000000002</v>
      </c>
      <c r="N45" s="3"/>
    </row>
    <row r="46" spans="3:14" ht="12.75">
      <c r="C46" t="s">
        <v>47</v>
      </c>
      <c r="K46" s="7"/>
      <c r="L46" s="7"/>
      <c r="M46" s="3"/>
      <c r="N46" s="3"/>
    </row>
    <row r="47" spans="4:14" ht="12.75">
      <c r="D47" s="23"/>
      <c r="E47" s="23"/>
      <c r="F47" s="23"/>
      <c r="G47" s="22"/>
      <c r="H47" s="23"/>
      <c r="I47" s="9">
        <f>+H47*D$7</f>
        <v>0</v>
      </c>
      <c r="J47" s="26"/>
      <c r="K47" s="24"/>
      <c r="L47" s="3">
        <f>H47*K47</f>
        <v>0</v>
      </c>
      <c r="M47" s="3">
        <f>L47*$D$7</f>
        <v>0</v>
      </c>
      <c r="N47" s="3"/>
    </row>
    <row r="48" spans="3:14" ht="12.75">
      <c r="C48" t="s">
        <v>48</v>
      </c>
      <c r="K48" s="7"/>
      <c r="L48" s="3"/>
      <c r="M48" s="3"/>
      <c r="N48" s="3"/>
    </row>
    <row r="49" spans="4:14" ht="12.75">
      <c r="D49" t="s">
        <v>49</v>
      </c>
      <c r="H49" s="8">
        <f>G11+G9</f>
        <v>0.11</v>
      </c>
      <c r="I49">
        <f>H49*D7</f>
        <v>44</v>
      </c>
      <c r="J49" s="2" t="s">
        <v>50</v>
      </c>
      <c r="K49" s="24">
        <v>25</v>
      </c>
      <c r="L49" s="3">
        <f>H49*K49</f>
        <v>2.75</v>
      </c>
      <c r="M49" s="3">
        <f>L49*$D$7</f>
        <v>1100</v>
      </c>
      <c r="N49" s="3"/>
    </row>
    <row r="50" spans="4:14" ht="12.75">
      <c r="D50" t="s">
        <v>51</v>
      </c>
      <c r="H50">
        <v>0.01</v>
      </c>
      <c r="I50">
        <f>H28</f>
        <v>4</v>
      </c>
      <c r="J50" s="2" t="s">
        <v>52</v>
      </c>
      <c r="K50" s="24">
        <v>2500</v>
      </c>
      <c r="L50" s="3">
        <f>H50*K50</f>
        <v>25</v>
      </c>
      <c r="M50" s="3">
        <f>L50*$D$7</f>
        <v>10000</v>
      </c>
      <c r="N50" s="3"/>
    </row>
    <row r="51" spans="4:14" ht="12.75">
      <c r="D51" t="s">
        <v>53</v>
      </c>
      <c r="H51" s="8">
        <f>G11+G9</f>
        <v>0.11</v>
      </c>
      <c r="I51">
        <f>H51*D7</f>
        <v>44</v>
      </c>
      <c r="J51" s="2" t="s">
        <v>50</v>
      </c>
      <c r="K51" s="24">
        <v>900</v>
      </c>
      <c r="L51" s="3">
        <f>H51*K51</f>
        <v>99</v>
      </c>
      <c r="M51" s="3">
        <f>L51*$D$7</f>
        <v>39600</v>
      </c>
      <c r="N51" s="3"/>
    </row>
    <row r="52" spans="3:14" ht="12.75">
      <c r="C52" t="s">
        <v>47</v>
      </c>
      <c r="K52" s="7"/>
      <c r="L52" s="3"/>
      <c r="M52" s="3"/>
      <c r="N52" s="3"/>
    </row>
    <row r="53" spans="4:14" ht="12.75">
      <c r="D53" s="23"/>
      <c r="E53" s="23"/>
      <c r="F53" s="23"/>
      <c r="G53" s="22"/>
      <c r="H53" s="23"/>
      <c r="I53" s="9">
        <f>+H53*D$7</f>
        <v>0</v>
      </c>
      <c r="J53" s="26"/>
      <c r="K53" s="24"/>
      <c r="L53" s="3">
        <f>H53*K53</f>
        <v>0</v>
      </c>
      <c r="M53" s="3">
        <f>L53*$D$7</f>
        <v>0</v>
      </c>
      <c r="N53" s="3"/>
    </row>
    <row r="54" spans="11:14" ht="12.75">
      <c r="K54" s="7"/>
      <c r="M54" s="3"/>
      <c r="N54" s="3"/>
    </row>
    <row r="55" spans="3:14" ht="12.75">
      <c r="C55" t="s">
        <v>54</v>
      </c>
      <c r="K55" s="7"/>
      <c r="L55" s="3"/>
      <c r="M55" s="3"/>
      <c r="N55" s="3"/>
    </row>
    <row r="56" spans="4:14" ht="12.75">
      <c r="D56" t="s">
        <v>55</v>
      </c>
      <c r="H56">
        <v>1</v>
      </c>
      <c r="I56">
        <f>D7</f>
        <v>400</v>
      </c>
      <c r="J56" s="2" t="s">
        <v>56</v>
      </c>
      <c r="K56" s="24">
        <v>3</v>
      </c>
      <c r="L56" s="3">
        <f>H56*K56</f>
        <v>3</v>
      </c>
      <c r="M56" s="3">
        <f>L56*$D$7</f>
        <v>1200</v>
      </c>
      <c r="N56" s="3"/>
    </row>
    <row r="57" spans="4:14" ht="12.75">
      <c r="D57" t="s">
        <v>57</v>
      </c>
      <c r="H57">
        <v>1</v>
      </c>
      <c r="I57">
        <f>D7</f>
        <v>400</v>
      </c>
      <c r="J57" s="2" t="s">
        <v>56</v>
      </c>
      <c r="K57" s="24">
        <v>2</v>
      </c>
      <c r="L57" s="3">
        <f>H57*K57</f>
        <v>2</v>
      </c>
      <c r="M57" s="3">
        <f>L57*$D$7</f>
        <v>800</v>
      </c>
      <c r="N57" s="3"/>
    </row>
    <row r="58" spans="4:14" ht="12.75">
      <c r="D58" t="s">
        <v>58</v>
      </c>
      <c r="H58">
        <v>1</v>
      </c>
      <c r="I58">
        <f>D7</f>
        <v>400</v>
      </c>
      <c r="J58" s="2" t="s">
        <v>56</v>
      </c>
      <c r="K58" s="24">
        <v>7</v>
      </c>
      <c r="L58" s="3">
        <f>H58*K58</f>
        <v>7</v>
      </c>
      <c r="M58" s="3">
        <f>L58*$D$7</f>
        <v>2800</v>
      </c>
      <c r="N58" s="3"/>
    </row>
    <row r="59" spans="4:14" ht="12.75">
      <c r="D59" t="s">
        <v>59</v>
      </c>
      <c r="H59" s="9">
        <f>I59/D7</f>
        <v>0.85</v>
      </c>
      <c r="I59" s="9">
        <f>H25+H26</f>
        <v>340</v>
      </c>
      <c r="J59" s="2" t="s">
        <v>60</v>
      </c>
      <c r="K59" s="24">
        <v>5</v>
      </c>
      <c r="L59" s="3">
        <f>H59*K59</f>
        <v>4.25</v>
      </c>
      <c r="M59" s="3">
        <f>L59*$D$7</f>
        <v>1700</v>
      </c>
      <c r="N59" s="3"/>
    </row>
    <row r="60" spans="4:14" ht="12.75">
      <c r="D60" t="s">
        <v>61</v>
      </c>
      <c r="H60">
        <f>I60/D7</f>
        <v>0.04</v>
      </c>
      <c r="I60">
        <f>ROUNDUP(D7/G15,0)</f>
        <v>16</v>
      </c>
      <c r="J60" s="2" t="s">
        <v>52</v>
      </c>
      <c r="K60" s="24">
        <v>50</v>
      </c>
      <c r="L60" s="3">
        <f>H60*K60</f>
        <v>2</v>
      </c>
      <c r="M60" s="3">
        <f>L60*$D$7</f>
        <v>800</v>
      </c>
      <c r="N60" s="3"/>
    </row>
    <row r="61" spans="3:14" ht="12.75">
      <c r="C61" t="s">
        <v>47</v>
      </c>
      <c r="K61" s="7"/>
      <c r="L61" s="3"/>
      <c r="M61" s="3"/>
      <c r="N61" s="3"/>
    </row>
    <row r="62" spans="4:14" ht="12.75">
      <c r="D62" s="23"/>
      <c r="E62" s="23"/>
      <c r="F62" s="23"/>
      <c r="G62" s="22"/>
      <c r="H62" s="23"/>
      <c r="I62" s="9">
        <f>+H62*D$7</f>
        <v>0</v>
      </c>
      <c r="J62" s="26"/>
      <c r="K62" s="24"/>
      <c r="L62" s="3">
        <f>H62*K62</f>
        <v>0</v>
      </c>
      <c r="M62" s="3">
        <f>L62*$D$7</f>
        <v>0</v>
      </c>
      <c r="N62" s="3"/>
    </row>
    <row r="63" spans="11:14" ht="12.75">
      <c r="K63" s="7"/>
      <c r="L63" s="3"/>
      <c r="M63" s="3"/>
      <c r="N63" s="3"/>
    </row>
    <row r="64" spans="3:14" ht="12.75">
      <c r="C64" t="s">
        <v>62</v>
      </c>
      <c r="K64" s="7"/>
      <c r="L64" s="3"/>
      <c r="M64" s="3"/>
      <c r="N64" s="3"/>
    </row>
    <row r="65" spans="4:14" ht="12.75">
      <c r="D65" t="s">
        <v>63</v>
      </c>
      <c r="H65" s="23">
        <v>2.4</v>
      </c>
      <c r="I65">
        <f>H65*$D$7</f>
        <v>960</v>
      </c>
      <c r="J65" s="2" t="s">
        <v>64</v>
      </c>
      <c r="K65" s="24">
        <v>10</v>
      </c>
      <c r="L65" s="3">
        <f>H65*K65</f>
        <v>24</v>
      </c>
      <c r="M65" s="3">
        <f>L65*$D$7</f>
        <v>9600</v>
      </c>
      <c r="N65" s="3"/>
    </row>
    <row r="66" spans="4:14" ht="12.75">
      <c r="D66" t="s">
        <v>65</v>
      </c>
      <c r="H66" s="23">
        <v>0.6</v>
      </c>
      <c r="I66">
        <f>H66*$D$7</f>
        <v>240</v>
      </c>
      <c r="J66" s="2" t="s">
        <v>64</v>
      </c>
      <c r="K66" s="24">
        <v>10</v>
      </c>
      <c r="L66" s="3">
        <f>H66*K66</f>
        <v>6</v>
      </c>
      <c r="M66" s="3">
        <f>L66*$D$7</f>
        <v>2400</v>
      </c>
      <c r="N66" s="3"/>
    </row>
    <row r="67" spans="4:14" ht="12.75">
      <c r="D67" t="s">
        <v>66</v>
      </c>
      <c r="H67" s="23">
        <v>0.6</v>
      </c>
      <c r="I67">
        <f>H67*$D$7</f>
        <v>240</v>
      </c>
      <c r="J67" s="2" t="s">
        <v>64</v>
      </c>
      <c r="K67" s="24">
        <v>10</v>
      </c>
      <c r="L67" s="3">
        <f>H67*K67</f>
        <v>6</v>
      </c>
      <c r="M67" s="3">
        <f>L67*$D$7</f>
        <v>2400</v>
      </c>
      <c r="N67" s="3"/>
    </row>
    <row r="68" spans="3:14" ht="12.75">
      <c r="C68" t="s">
        <v>47</v>
      </c>
      <c r="K68" s="7"/>
      <c r="L68" s="3"/>
      <c r="M68" s="3"/>
      <c r="N68" s="3"/>
    </row>
    <row r="69" spans="4:14" ht="12.75">
      <c r="D69" s="23"/>
      <c r="E69" s="23"/>
      <c r="F69" s="23"/>
      <c r="G69" s="22"/>
      <c r="H69" s="23"/>
      <c r="I69" s="9">
        <f>+H69*D$7</f>
        <v>0</v>
      </c>
      <c r="J69" s="26"/>
      <c r="K69" s="24"/>
      <c r="L69" s="3">
        <f>H69*K69</f>
        <v>0</v>
      </c>
      <c r="M69" s="3">
        <f>L69*$D$7</f>
        <v>0</v>
      </c>
      <c r="N69" s="3"/>
    </row>
    <row r="70" spans="11:14" ht="12.75">
      <c r="K70" s="7"/>
      <c r="L70" s="3"/>
      <c r="M70" s="3"/>
      <c r="N70" s="3"/>
    </row>
    <row r="71" spans="3:14" ht="12.75">
      <c r="C71" t="s">
        <v>67</v>
      </c>
      <c r="K71" s="7"/>
      <c r="L71" s="3"/>
      <c r="M71" s="3"/>
      <c r="N71" s="3"/>
    </row>
    <row r="72" spans="4:14" ht="12.75">
      <c r="D72" t="s">
        <v>68</v>
      </c>
      <c r="I72">
        <v>1</v>
      </c>
      <c r="J72" s="2" t="s">
        <v>69</v>
      </c>
      <c r="K72" s="27">
        <v>3000</v>
      </c>
      <c r="L72" s="3">
        <f>K72/$D$7</f>
        <v>7.5</v>
      </c>
      <c r="M72" s="3">
        <f>L72*$D$7</f>
        <v>3000</v>
      </c>
      <c r="N72" s="3"/>
    </row>
    <row r="73" spans="4:14" ht="12.75">
      <c r="D73" t="s">
        <v>70</v>
      </c>
      <c r="H73">
        <f>I73/$D$7</f>
        <v>0.96</v>
      </c>
      <c r="I73">
        <f>SUM(H25:H28)</f>
        <v>384</v>
      </c>
      <c r="J73" s="2" t="s">
        <v>0</v>
      </c>
      <c r="K73" s="27">
        <v>7</v>
      </c>
      <c r="L73" s="3">
        <f>H73*K73</f>
        <v>6.72</v>
      </c>
      <c r="M73" s="3">
        <f>L73*$D$7</f>
        <v>2688</v>
      </c>
      <c r="N73" s="3"/>
    </row>
    <row r="74" spans="3:14" ht="12.75">
      <c r="C74" t="s">
        <v>47</v>
      </c>
      <c r="K74" s="7"/>
      <c r="L74" s="3"/>
      <c r="N74" s="3"/>
    </row>
    <row r="75" spans="4:14" ht="12.75">
      <c r="D75" s="23"/>
      <c r="E75" s="23"/>
      <c r="F75" s="23"/>
      <c r="G75" s="22"/>
      <c r="H75" s="23"/>
      <c r="I75" s="9">
        <f>+H75*D$7</f>
        <v>0</v>
      </c>
      <c r="J75" s="26"/>
      <c r="K75" s="24"/>
      <c r="L75" s="3">
        <f>H75*K75</f>
        <v>0</v>
      </c>
      <c r="M75" s="3">
        <f>L75*$D$7</f>
        <v>0</v>
      </c>
      <c r="N75" s="3"/>
    </row>
    <row r="76" spans="11:14" ht="12.75">
      <c r="K76" s="7"/>
      <c r="L76" s="3"/>
      <c r="N76" s="3"/>
    </row>
    <row r="77" spans="9:256" ht="12.75">
      <c r="I77" s="10" t="s">
        <v>71</v>
      </c>
      <c r="K77" s="7"/>
      <c r="L77" s="3">
        <f>SUM(L36:L76)</f>
        <v>441.23400000000004</v>
      </c>
      <c r="M77" s="3">
        <f>SUM(M36:M76)</f>
        <v>176493.6</v>
      </c>
      <c r="N77" s="6"/>
      <c r="IV77">
        <f>SUM(A77:IU77)</f>
        <v>176934.834</v>
      </c>
    </row>
    <row r="78" spans="11:13" ht="12.75">
      <c r="K78" s="7"/>
      <c r="L78" s="3"/>
      <c r="M78" s="3"/>
    </row>
    <row r="79" spans="2:13" ht="12.75">
      <c r="B79" t="s">
        <v>72</v>
      </c>
      <c r="K79" s="7"/>
      <c r="L79" s="3"/>
      <c r="M79" s="3"/>
    </row>
    <row r="80" spans="3:14" ht="12.75">
      <c r="C80" t="s">
        <v>73</v>
      </c>
      <c r="I80">
        <v>1</v>
      </c>
      <c r="J80" s="2" t="s">
        <v>69</v>
      </c>
      <c r="K80" s="24">
        <f>D7*1.5</f>
        <v>600</v>
      </c>
      <c r="L80" s="3">
        <f>K80/$D$7</f>
        <v>1.5</v>
      </c>
      <c r="M80" s="3">
        <f aca="true" t="shared" si="0" ref="M80:M88">L80*$D$7</f>
        <v>600</v>
      </c>
      <c r="N80" s="3"/>
    </row>
    <row r="81" spans="3:14" ht="12.75">
      <c r="C81" t="s">
        <v>74</v>
      </c>
      <c r="I81">
        <v>1</v>
      </c>
      <c r="J81" s="2" t="s">
        <v>69</v>
      </c>
      <c r="K81" s="24">
        <f>D7*0.6</f>
        <v>240</v>
      </c>
      <c r="L81" s="3">
        <f>K81/$D$7</f>
        <v>0.6</v>
      </c>
      <c r="M81" s="3">
        <f t="shared" si="0"/>
        <v>240</v>
      </c>
      <c r="N81" s="3"/>
    </row>
    <row r="82" spans="3:14" ht="12.75">
      <c r="C82" t="s">
        <v>75</v>
      </c>
      <c r="I82">
        <v>1</v>
      </c>
      <c r="J82" s="2" t="s">
        <v>69</v>
      </c>
      <c r="K82" s="24">
        <f>D7</f>
        <v>400</v>
      </c>
      <c r="L82" s="3">
        <f>K82/$D$7</f>
        <v>1</v>
      </c>
      <c r="M82" s="3">
        <f t="shared" si="0"/>
        <v>400</v>
      </c>
      <c r="N82" s="3"/>
    </row>
    <row r="83" spans="3:14" ht="12.75">
      <c r="C83" t="s">
        <v>76</v>
      </c>
      <c r="I83">
        <v>1</v>
      </c>
      <c r="J83" s="2" t="s">
        <v>69</v>
      </c>
      <c r="K83" s="24">
        <f>+D7</f>
        <v>400</v>
      </c>
      <c r="L83" s="3">
        <f>K83/$D$7</f>
        <v>1</v>
      </c>
      <c r="M83" s="3">
        <f t="shared" si="0"/>
        <v>400</v>
      </c>
      <c r="N83" s="3"/>
    </row>
    <row r="84" spans="3:14" ht="12.75">
      <c r="C84" t="s">
        <v>77</v>
      </c>
      <c r="I84">
        <f>D7</f>
        <v>400</v>
      </c>
      <c r="J84" s="2" t="s">
        <v>0</v>
      </c>
      <c r="K84" s="24">
        <v>10</v>
      </c>
      <c r="L84" s="3">
        <f>+K84</f>
        <v>10</v>
      </c>
      <c r="M84" s="3">
        <f t="shared" si="0"/>
        <v>4000</v>
      </c>
      <c r="N84" s="3"/>
    </row>
    <row r="85" spans="3:14" ht="12.75">
      <c r="C85" t="s">
        <v>78</v>
      </c>
      <c r="I85">
        <v>1</v>
      </c>
      <c r="J85" s="2" t="s">
        <v>69</v>
      </c>
      <c r="K85" s="24">
        <f>+D7*7.5</f>
        <v>3000</v>
      </c>
      <c r="L85" s="3">
        <f>K85/$D$7</f>
        <v>7.5</v>
      </c>
      <c r="M85" s="3">
        <f t="shared" si="0"/>
        <v>3000</v>
      </c>
      <c r="N85" s="3"/>
    </row>
    <row r="86" spans="3:14" ht="12.75">
      <c r="C86" t="s">
        <v>79</v>
      </c>
      <c r="I86">
        <v>1</v>
      </c>
      <c r="J86" s="2" t="s">
        <v>69</v>
      </c>
      <c r="K86" s="24">
        <f>+D7*5</f>
        <v>2000</v>
      </c>
      <c r="L86" s="3">
        <f>K86/$D$7</f>
        <v>5</v>
      </c>
      <c r="M86" s="3">
        <f t="shared" si="0"/>
        <v>2000</v>
      </c>
      <c r="N86" s="3"/>
    </row>
    <row r="87" spans="3:14" ht="12.75">
      <c r="C87" t="s">
        <v>80</v>
      </c>
      <c r="I87">
        <v>1</v>
      </c>
      <c r="J87" s="2" t="s">
        <v>69</v>
      </c>
      <c r="K87" s="24">
        <f>+D7*5</f>
        <v>2000</v>
      </c>
      <c r="L87" s="3">
        <f>K87/$D$7</f>
        <v>5</v>
      </c>
      <c r="M87" s="3">
        <f t="shared" si="0"/>
        <v>2000</v>
      </c>
      <c r="N87" s="3"/>
    </row>
    <row r="88" spans="9:14" ht="12.75">
      <c r="I88" s="10" t="s">
        <v>81</v>
      </c>
      <c r="L88" s="3">
        <f>SUM(L80:L87)</f>
        <v>31.6</v>
      </c>
      <c r="M88" s="3">
        <f t="shared" si="0"/>
        <v>12640</v>
      </c>
      <c r="N88" s="6"/>
    </row>
    <row r="89" ht="12.75">
      <c r="N89" s="3"/>
    </row>
    <row r="90" spans="9:14" ht="12.75">
      <c r="I90" s="10" t="s">
        <v>34</v>
      </c>
      <c r="L90" s="3">
        <f>L88+L77</f>
        <v>472.83400000000006</v>
      </c>
      <c r="M90" s="3">
        <f>M77+M88</f>
        <v>189133.6</v>
      </c>
      <c r="N90" s="6"/>
    </row>
    <row r="92" spans="11:14" ht="12.75">
      <c r="K92" s="10" t="s">
        <v>82</v>
      </c>
      <c r="L92" s="3">
        <f>L30-L90</f>
        <v>42.525999999999954</v>
      </c>
      <c r="M92" s="11">
        <f>M30-M90</f>
        <v>17010.399999999994</v>
      </c>
      <c r="N92" s="3"/>
    </row>
    <row r="93" spans="1:13" ht="12.75">
      <c r="A93" s="48"/>
      <c r="B93" s="48"/>
      <c r="C93" s="48"/>
      <c r="D93" s="48"/>
      <c r="E93" s="48"/>
      <c r="F93" s="48"/>
      <c r="G93" s="48"/>
      <c r="H93" s="48"/>
      <c r="I93" s="48"/>
      <c r="J93" s="49"/>
      <c r="K93" s="50"/>
      <c r="L93" s="50"/>
      <c r="M93" s="48"/>
    </row>
    <row r="94" ht="20.25">
      <c r="C94" s="12" t="s">
        <v>83</v>
      </c>
    </row>
    <row r="95" ht="20.25">
      <c r="C95" s="13" t="s">
        <v>84</v>
      </c>
    </row>
    <row r="97" ht="12.75">
      <c r="C97" t="s">
        <v>91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sls</dc:creator>
  <cp:keywords/>
  <dc:description/>
  <cp:lastModifiedBy>Dillon M Feuz</cp:lastModifiedBy>
  <cp:lastPrinted>2007-05-29T17:56:31Z</cp:lastPrinted>
  <dcterms:created xsi:type="dcterms:W3CDTF">2006-11-10T18:59:15Z</dcterms:created>
  <dcterms:modified xsi:type="dcterms:W3CDTF">2007-05-29T21:38:17Z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