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00791116\Documents\"/>
    </mc:Choice>
  </mc:AlternateContent>
  <xr:revisionPtr revIDLastSave="0" documentId="8_{1F69CEE8-5847-46D5-8FA8-0AB176208FDA}" xr6:coauthVersionLast="47" xr6:coauthVersionMax="47" xr10:uidLastSave="{00000000-0000-0000-0000-000000000000}"/>
  <bookViews>
    <workbookView xWindow="28680" yWindow="15" windowWidth="29040" windowHeight="15840" firstSheet="2" activeTab="2" xr2:uid="{00000000-000D-0000-FFFF-FFFF00000000}"/>
  </bookViews>
  <sheets>
    <sheet name="Northern UT Information" sheetId="3" state="hidden" r:id="rId1"/>
    <sheet name="rsklibSimData" sheetId="6" state="hidden" r:id="rId2"/>
    <sheet name="CowCalf Budget" sheetId="2" r:id="rId3"/>
    <sheet name="Dashboard Data" sheetId="8" state="hidden" r:id="rId4"/>
    <sheet name="Dashboard" sheetId="7" state="hidden" r:id="rId5"/>
    <sheet name="Production Calendar" sheetId="4" r:id="rId6"/>
    <sheet name="Budget Inputs" sheetId="5" r:id="rId7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anualCount" hidden="1">8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4096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4096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al_Workbook_GUID" hidden="1">"FWPMLUZUEGP3R4UZN2Q9PEPB"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"$I$49"</definedName>
    <definedName name="RiskSelectedNameCell1" hidden="1">"$B$49"</definedName>
    <definedName name="RiskSelectedNameCell2" hidden="1">"$I$17"</definedName>
    <definedName name="RiskSimulationResultsStorageLocation" hidden="1">"2"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10" i="8"/>
  <c r="C11" i="8"/>
  <c r="C10" i="8"/>
  <c r="D3" i="8"/>
  <c r="B3" i="8"/>
  <c r="H14" i="2"/>
  <c r="B2" i="8" s="1"/>
  <c r="K14" i="2"/>
  <c r="K46" i="2"/>
  <c r="D2" i="8"/>
  <c r="G24" i="2"/>
  <c r="G22" i="2"/>
  <c r="G21" i="2"/>
  <c r="G17" i="2"/>
  <c r="F17" i="2" l="1"/>
  <c r="G9" i="2" l="1"/>
  <c r="S18" i="4"/>
  <c r="S19" i="4"/>
  <c r="W11" i="4"/>
  <c r="W12" i="4"/>
  <c r="W13" i="4"/>
  <c r="W14" i="4"/>
  <c r="U3" i="4"/>
  <c r="S4" i="4"/>
  <c r="S7" i="4"/>
  <c r="S8" i="4"/>
  <c r="S9" i="4"/>
  <c r="U21" i="4"/>
  <c r="U24" i="4"/>
  <c r="U23" i="4"/>
  <c r="AB26" i="4"/>
  <c r="AC26" i="4" s="1"/>
  <c r="AD26" i="4"/>
  <c r="AB27" i="4"/>
  <c r="AC27" i="4" s="1"/>
  <c r="AD27" i="4"/>
  <c r="AB28" i="4"/>
  <c r="AC28" i="4" s="1"/>
  <c r="AD28" i="4"/>
  <c r="AB29" i="4"/>
  <c r="AC29" i="4" s="1"/>
  <c r="AD29" i="4"/>
  <c r="O43" i="4"/>
  <c r="O44" i="4"/>
  <c r="O45" i="4"/>
  <c r="O46" i="4"/>
  <c r="O47" i="4"/>
  <c r="C5" i="2"/>
  <c r="S2" i="4" s="1"/>
  <c r="B27" i="3"/>
  <c r="E42" i="2"/>
  <c r="H42" i="2"/>
  <c r="I42" i="2"/>
  <c r="E41" i="2"/>
  <c r="H41" i="2" s="1"/>
  <c r="C38" i="4"/>
  <c r="D38" i="4"/>
  <c r="E38" i="4"/>
  <c r="F38" i="4"/>
  <c r="G38" i="4"/>
  <c r="H38" i="4"/>
  <c r="I38" i="4"/>
  <c r="J38" i="4"/>
  <c r="K38" i="4"/>
  <c r="L38" i="4"/>
  <c r="M38" i="4"/>
  <c r="B38" i="4"/>
  <c r="G30" i="2"/>
  <c r="H27" i="2"/>
  <c r="I27" i="2" s="1"/>
  <c r="G28" i="2"/>
  <c r="E30" i="2"/>
  <c r="E31" i="2"/>
  <c r="E32" i="2"/>
  <c r="E33" i="2"/>
  <c r="E34" i="2"/>
  <c r="H26" i="2"/>
  <c r="E25" i="2"/>
  <c r="H25" i="2" s="1"/>
  <c r="I25" i="2" s="1"/>
  <c r="G20" i="2"/>
  <c r="G13" i="2"/>
  <c r="G12" i="2"/>
  <c r="G11" i="2"/>
  <c r="G10" i="2"/>
  <c r="C13" i="2"/>
  <c r="U12" i="4"/>
  <c r="S16" i="4" s="1"/>
  <c r="C12" i="2"/>
  <c r="C11" i="2"/>
  <c r="C10" i="2"/>
  <c r="U14" i="4" s="1"/>
  <c r="C9" i="2"/>
  <c r="U13" i="4"/>
  <c r="C42" i="4"/>
  <c r="D42" i="4"/>
  <c r="E42" i="4"/>
  <c r="F42" i="4"/>
  <c r="G42" i="4"/>
  <c r="H42" i="4"/>
  <c r="I42" i="4"/>
  <c r="J42" i="4"/>
  <c r="K42" i="4"/>
  <c r="L42" i="4"/>
  <c r="M42" i="4"/>
  <c r="B42" i="4"/>
  <c r="C41" i="4"/>
  <c r="D41" i="4"/>
  <c r="E41" i="4"/>
  <c r="F41" i="4"/>
  <c r="G41" i="4"/>
  <c r="H41" i="4"/>
  <c r="I41" i="4"/>
  <c r="J41" i="4"/>
  <c r="K41" i="4"/>
  <c r="L41" i="4"/>
  <c r="M41" i="4"/>
  <c r="B41" i="4"/>
  <c r="C40" i="4"/>
  <c r="D40" i="4"/>
  <c r="E40" i="4"/>
  <c r="F40" i="4"/>
  <c r="G40" i="4"/>
  <c r="H40" i="4"/>
  <c r="I40" i="4"/>
  <c r="J40" i="4"/>
  <c r="K40" i="4"/>
  <c r="L40" i="4"/>
  <c r="M40" i="4"/>
  <c r="B40" i="4"/>
  <c r="C37" i="4"/>
  <c r="D37" i="4"/>
  <c r="E37" i="4"/>
  <c r="F37" i="4"/>
  <c r="G37" i="4"/>
  <c r="H37" i="4"/>
  <c r="I37" i="4"/>
  <c r="J37" i="4"/>
  <c r="K37" i="4"/>
  <c r="L37" i="4"/>
  <c r="M37" i="4"/>
  <c r="B37" i="4"/>
  <c r="C36" i="4"/>
  <c r="D36" i="4"/>
  <c r="E36" i="4"/>
  <c r="F36" i="4"/>
  <c r="G36" i="4"/>
  <c r="H36" i="4"/>
  <c r="I36" i="4"/>
  <c r="J36" i="4"/>
  <c r="K36" i="4"/>
  <c r="L36" i="4"/>
  <c r="M36" i="4"/>
  <c r="B36" i="4"/>
  <c r="C35" i="4"/>
  <c r="D35" i="4"/>
  <c r="E35" i="4"/>
  <c r="F35" i="4"/>
  <c r="G35" i="4"/>
  <c r="H35" i="4"/>
  <c r="I35" i="4"/>
  <c r="J35" i="4"/>
  <c r="K35" i="4"/>
  <c r="L35" i="4"/>
  <c r="M35" i="4"/>
  <c r="B35" i="4"/>
  <c r="C34" i="4"/>
  <c r="D34" i="4"/>
  <c r="E34" i="4"/>
  <c r="F34" i="4"/>
  <c r="G34" i="4"/>
  <c r="H34" i="4"/>
  <c r="I34" i="4"/>
  <c r="J34" i="4"/>
  <c r="K34" i="4"/>
  <c r="L34" i="4"/>
  <c r="M34" i="4"/>
  <c r="B34" i="4"/>
  <c r="C30" i="4"/>
  <c r="D30" i="4"/>
  <c r="E30" i="4"/>
  <c r="F30" i="4"/>
  <c r="G30" i="4"/>
  <c r="H30" i="4"/>
  <c r="I30" i="4"/>
  <c r="J30" i="4"/>
  <c r="K30" i="4"/>
  <c r="L30" i="4"/>
  <c r="M30" i="4"/>
  <c r="B30" i="4"/>
  <c r="N16" i="4"/>
  <c r="N20" i="4"/>
  <c r="N12" i="4"/>
  <c r="N13" i="4"/>
  <c r="C10" i="4"/>
  <c r="D10" i="4"/>
  <c r="E10" i="4"/>
  <c r="F10" i="4"/>
  <c r="G10" i="4"/>
  <c r="H10" i="4"/>
  <c r="I10" i="4"/>
  <c r="J10" i="4"/>
  <c r="K10" i="4"/>
  <c r="L10" i="4"/>
  <c r="M10" i="4"/>
  <c r="B10" i="4"/>
  <c r="C9" i="4"/>
  <c r="C19" i="4" s="1"/>
  <c r="D9" i="4"/>
  <c r="D19" i="4"/>
  <c r="E9" i="4"/>
  <c r="F9" i="4"/>
  <c r="G9" i="4"/>
  <c r="G19" i="4" s="1"/>
  <c r="H9" i="4"/>
  <c r="H19" i="4" s="1"/>
  <c r="I9" i="4"/>
  <c r="I19" i="4" s="1"/>
  <c r="J9" i="4"/>
  <c r="J19" i="4" s="1"/>
  <c r="K9" i="4"/>
  <c r="K19" i="4" s="1"/>
  <c r="L9" i="4"/>
  <c r="M9" i="4"/>
  <c r="B9" i="4"/>
  <c r="B19" i="4" s="1"/>
  <c r="C8" i="4"/>
  <c r="C18" i="4" s="1"/>
  <c r="D8" i="4"/>
  <c r="D18" i="4"/>
  <c r="E8" i="4"/>
  <c r="E18" i="4"/>
  <c r="F8" i="4"/>
  <c r="F18" i="4" s="1"/>
  <c r="G8" i="4"/>
  <c r="G18" i="4" s="1"/>
  <c r="H8" i="4"/>
  <c r="H18" i="4" s="1"/>
  <c r="I8" i="4"/>
  <c r="I18" i="4" s="1"/>
  <c r="J8" i="4"/>
  <c r="J18" i="4" s="1"/>
  <c r="K8" i="4"/>
  <c r="K18" i="4" s="1"/>
  <c r="L8" i="4"/>
  <c r="L18" i="4" s="1"/>
  <c r="M8" i="4"/>
  <c r="M18" i="4" s="1"/>
  <c r="B8" i="4"/>
  <c r="B18" i="4" s="1"/>
  <c r="C7" i="4"/>
  <c r="C17" i="4"/>
  <c r="D7" i="4"/>
  <c r="D17" i="4"/>
  <c r="E7" i="4"/>
  <c r="E17" i="4"/>
  <c r="F7" i="4"/>
  <c r="F17" i="4" s="1"/>
  <c r="G7" i="4"/>
  <c r="H7" i="4"/>
  <c r="I7" i="4"/>
  <c r="J7" i="4"/>
  <c r="K7" i="4"/>
  <c r="L7" i="4"/>
  <c r="L17" i="4" s="1"/>
  <c r="M7" i="4"/>
  <c r="M17" i="4" s="1"/>
  <c r="B7" i="4"/>
  <c r="B17" i="4" s="1"/>
  <c r="J7" i="5"/>
  <c r="K7" i="5"/>
  <c r="L7" i="5"/>
  <c r="M7" i="5"/>
  <c r="N7" i="5"/>
  <c r="O7" i="5"/>
  <c r="P7" i="5"/>
  <c r="Q7" i="5"/>
  <c r="R7" i="5"/>
  <c r="S7" i="5"/>
  <c r="T7" i="5"/>
  <c r="I7" i="5"/>
  <c r="C6" i="5"/>
  <c r="F3" i="5"/>
  <c r="F4" i="5" s="1"/>
  <c r="C18" i="5"/>
  <c r="E9" i="2" s="1"/>
  <c r="C16" i="5"/>
  <c r="L25" i="4"/>
  <c r="N25" i="4" s="1"/>
  <c r="C14" i="5"/>
  <c r="E12" i="2" s="1"/>
  <c r="M24" i="4"/>
  <c r="M26" i="4" s="1"/>
  <c r="M39" i="4" s="1"/>
  <c r="C10" i="5"/>
  <c r="E11" i="2" s="1"/>
  <c r="C12" i="5"/>
  <c r="E13" i="2"/>
  <c r="H13" i="2" s="1"/>
  <c r="I13" i="2" s="1"/>
  <c r="N2" i="4"/>
  <c r="N5" i="4"/>
  <c r="D67" i="4" s="1"/>
  <c r="N6" i="4"/>
  <c r="D68" i="4" s="1"/>
  <c r="N11" i="4"/>
  <c r="B26" i="4"/>
  <c r="B39" i="4" s="1"/>
  <c r="C26" i="4"/>
  <c r="C39" i="4"/>
  <c r="D26" i="4"/>
  <c r="D39" i="4" s="1"/>
  <c r="E26" i="4"/>
  <c r="E39" i="4" s="1"/>
  <c r="F26" i="4"/>
  <c r="F39" i="4" s="1"/>
  <c r="G26" i="4"/>
  <c r="G39" i="4"/>
  <c r="H26" i="4"/>
  <c r="H39" i="4" s="1"/>
  <c r="I26" i="4"/>
  <c r="I39" i="4" s="1"/>
  <c r="J26" i="4"/>
  <c r="J39" i="4" s="1"/>
  <c r="C70" i="4"/>
  <c r="I26" i="2"/>
  <c r="E45" i="2" l="1"/>
  <c r="H45" i="2" s="1"/>
  <c r="I45" i="2" s="1"/>
  <c r="H30" i="2"/>
  <c r="I30" i="2" s="1"/>
  <c r="E43" i="2"/>
  <c r="H43" i="2" s="1"/>
  <c r="I43" i="2" s="1"/>
  <c r="L3" i="4"/>
  <c r="B3" i="4"/>
  <c r="B15" i="4" s="1"/>
  <c r="B29" i="4" s="1"/>
  <c r="G3" i="4"/>
  <c r="G4" i="4" s="1"/>
  <c r="G33" i="4" s="1"/>
  <c r="F5" i="5"/>
  <c r="I3" i="4"/>
  <c r="I14" i="4" s="1"/>
  <c r="I28" i="4" s="1"/>
  <c r="D3" i="4"/>
  <c r="H3" i="4"/>
  <c r="H15" i="4" s="1"/>
  <c r="H29" i="4" s="1"/>
  <c r="J3" i="4"/>
  <c r="J14" i="4" s="1"/>
  <c r="J28" i="4" s="1"/>
  <c r="K3" i="4"/>
  <c r="C3" i="4"/>
  <c r="C15" i="4" s="1"/>
  <c r="C29" i="4" s="1"/>
  <c r="F3" i="4"/>
  <c r="F14" i="4" s="1"/>
  <c r="E3" i="4"/>
  <c r="M3" i="4"/>
  <c r="U9" i="4"/>
  <c r="U7" i="4"/>
  <c r="S11" i="4" s="1"/>
  <c r="Y11" i="4" s="1"/>
  <c r="W2" i="4"/>
  <c r="H12" i="2"/>
  <c r="I12" i="2" s="1"/>
  <c r="I41" i="2"/>
  <c r="I46" i="2" s="1"/>
  <c r="D66" i="4"/>
  <c r="C20" i="5"/>
  <c r="N9" i="4"/>
  <c r="N35" i="4"/>
  <c r="O35" i="4" s="1"/>
  <c r="V23" i="4"/>
  <c r="U11" i="4"/>
  <c r="S15" i="4" s="1"/>
  <c r="V21" i="4"/>
  <c r="G15" i="4"/>
  <c r="G29" i="4" s="1"/>
  <c r="G17" i="4"/>
  <c r="H11" i="2"/>
  <c r="I11" i="2" s="1"/>
  <c r="E28" i="2"/>
  <c r="H28" i="2" s="1"/>
  <c r="I28" i="2" s="1"/>
  <c r="E29" i="2"/>
  <c r="H29" i="2" s="1"/>
  <c r="I29" i="2" s="1"/>
  <c r="E44" i="2"/>
  <c r="H44" i="2" s="1"/>
  <c r="I44" i="2" s="1"/>
  <c r="S13" i="4"/>
  <c r="H9" i="2"/>
  <c r="I9" i="2" s="1"/>
  <c r="N18" i="4"/>
  <c r="E22" i="2" s="1"/>
  <c r="H22" i="2" s="1"/>
  <c r="I22" i="2" s="1"/>
  <c r="I4" i="4"/>
  <c r="I31" i="4" s="1"/>
  <c r="N8" i="4"/>
  <c r="H14" i="4"/>
  <c r="H28" i="4" s="1"/>
  <c r="N34" i="4"/>
  <c r="O34" i="4" s="1"/>
  <c r="N38" i="4"/>
  <c r="G14" i="4"/>
  <c r="G28" i="4" s="1"/>
  <c r="H4" i="4"/>
  <c r="H17" i="4" s="1"/>
  <c r="K14" i="4"/>
  <c r="K28" i="4" s="1"/>
  <c r="N30" i="4"/>
  <c r="P22" i="4" s="1"/>
  <c r="N24" i="4"/>
  <c r="N41" i="4"/>
  <c r="H36" i="2" s="1"/>
  <c r="N37" i="4"/>
  <c r="N40" i="4"/>
  <c r="H35" i="2" s="1"/>
  <c r="I35" i="2" s="1"/>
  <c r="N42" i="4"/>
  <c r="H37" i="2" s="1"/>
  <c r="I37" i="2" s="1"/>
  <c r="Y13" i="4"/>
  <c r="P32" i="4"/>
  <c r="N10" i="4"/>
  <c r="D70" i="4"/>
  <c r="L4" i="4"/>
  <c r="F4" i="4"/>
  <c r="B4" i="4"/>
  <c r="N36" i="4"/>
  <c r="O36" i="4" s="1"/>
  <c r="S3" i="4"/>
  <c r="D69" i="4"/>
  <c r="F15" i="4"/>
  <c r="F29" i="4" s="1"/>
  <c r="G31" i="4"/>
  <c r="N7" i="4"/>
  <c r="G32" i="4"/>
  <c r="L26" i="4"/>
  <c r="L39" i="4" s="1"/>
  <c r="P29" i="4"/>
  <c r="O37" i="4"/>
  <c r="G31" i="2" s="1"/>
  <c r="H31" i="2" s="1"/>
  <c r="I31" i="2" s="1"/>
  <c r="K22" i="4"/>
  <c r="G19" i="2"/>
  <c r="F28" i="4"/>
  <c r="I15" i="4" l="1"/>
  <c r="I29" i="4" s="1"/>
  <c r="B14" i="4"/>
  <c r="E10" i="2"/>
  <c r="H10" i="2" s="1"/>
  <c r="K23" i="4"/>
  <c r="N23" i="4" s="1"/>
  <c r="D4" i="4"/>
  <c r="D15" i="4"/>
  <c r="D29" i="4" s="1"/>
  <c r="D14" i="4"/>
  <c r="D28" i="4" s="1"/>
  <c r="M14" i="4"/>
  <c r="M28" i="4" s="1"/>
  <c r="M15" i="4"/>
  <c r="M29" i="4" s="1"/>
  <c r="M4" i="4"/>
  <c r="N3" i="4"/>
  <c r="N4" i="4" s="1"/>
  <c r="O40" i="4"/>
  <c r="S10" i="4"/>
  <c r="S14" i="4" s="1"/>
  <c r="Y14" i="4" s="1"/>
  <c r="H46" i="2"/>
  <c r="S36" i="4" s="1"/>
  <c r="E4" i="4"/>
  <c r="E14" i="4"/>
  <c r="E28" i="4" s="1"/>
  <c r="E15" i="4"/>
  <c r="E29" i="4" s="1"/>
  <c r="J4" i="4"/>
  <c r="J17" i="4" s="1"/>
  <c r="I33" i="4"/>
  <c r="J15" i="4"/>
  <c r="J29" i="4" s="1"/>
  <c r="I32" i="4"/>
  <c r="C14" i="4"/>
  <c r="C28" i="4" s="1"/>
  <c r="C4" i="4"/>
  <c r="K4" i="4"/>
  <c r="K15" i="4"/>
  <c r="K29" i="4" s="1"/>
  <c r="N29" i="4" s="1"/>
  <c r="L14" i="4"/>
  <c r="L28" i="4" s="1"/>
  <c r="L15" i="4"/>
  <c r="L29" i="4" s="1"/>
  <c r="B28" i="4"/>
  <c r="O41" i="4"/>
  <c r="G33" i="2" s="1"/>
  <c r="H33" i="2" s="1"/>
  <c r="I33" i="2" s="1"/>
  <c r="O39" i="4"/>
  <c r="G34" i="2" s="1"/>
  <c r="O30" i="4"/>
  <c r="H31" i="4"/>
  <c r="H32" i="4"/>
  <c r="H33" i="4"/>
  <c r="I17" i="4"/>
  <c r="B33" i="4"/>
  <c r="B32" i="4"/>
  <c r="B31" i="4"/>
  <c r="L32" i="4"/>
  <c r="L31" i="4"/>
  <c r="L33" i="4"/>
  <c r="F33" i="4"/>
  <c r="F32" i="4"/>
  <c r="F31" i="4"/>
  <c r="F19" i="4"/>
  <c r="U8" i="4"/>
  <c r="S12" i="4" s="1"/>
  <c r="Y12" i="4" s="1"/>
  <c r="W3" i="4"/>
  <c r="X3" i="4" s="1"/>
  <c r="U31" i="4"/>
  <c r="B68" i="4"/>
  <c r="U30" i="4"/>
  <c r="I36" i="2"/>
  <c r="S34" i="4"/>
  <c r="L19" i="4"/>
  <c r="J31" i="4"/>
  <c r="J32" i="4"/>
  <c r="U15" i="4"/>
  <c r="U16" i="4" s="1"/>
  <c r="N22" i="4"/>
  <c r="N26" i="4" s="1"/>
  <c r="K26" i="4"/>
  <c r="N28" i="4" l="1"/>
  <c r="H19" i="2" s="1"/>
  <c r="N15" i="4"/>
  <c r="E20" i="2" s="1"/>
  <c r="J33" i="4"/>
  <c r="K32" i="4"/>
  <c r="K31" i="4"/>
  <c r="K17" i="4"/>
  <c r="N17" i="4" s="1"/>
  <c r="K33" i="4"/>
  <c r="C31" i="4"/>
  <c r="N31" i="4" s="1"/>
  <c r="O31" i="4" s="1"/>
  <c r="C33" i="4"/>
  <c r="C32" i="4"/>
  <c r="E19" i="4"/>
  <c r="E33" i="4"/>
  <c r="E32" i="4"/>
  <c r="E31" i="4"/>
  <c r="D31" i="4"/>
  <c r="D32" i="4"/>
  <c r="D33" i="4"/>
  <c r="I10" i="2"/>
  <c r="I14" i="2" s="1"/>
  <c r="M31" i="4"/>
  <c r="M19" i="4"/>
  <c r="M33" i="4"/>
  <c r="M32" i="4"/>
  <c r="N14" i="4"/>
  <c r="E19" i="2" s="1"/>
  <c r="O29" i="4"/>
  <c r="H20" i="2"/>
  <c r="I20" i="2" s="1"/>
  <c r="Y3" i="4"/>
  <c r="X4" i="4"/>
  <c r="X5" i="4"/>
  <c r="N19" i="4"/>
  <c r="E21" i="2" s="1"/>
  <c r="H21" i="2" s="1"/>
  <c r="I21" i="2" s="1"/>
  <c r="T19" i="4"/>
  <c r="T18" i="4"/>
  <c r="O28" i="4"/>
  <c r="K39" i="4"/>
  <c r="N32" i="4" l="1"/>
  <c r="O32" i="4" s="1"/>
  <c r="N33" i="4"/>
  <c r="O33" i="4" s="1"/>
  <c r="E24" i="2"/>
  <c r="H24" i="2" s="1"/>
  <c r="I24" i="2" s="1"/>
  <c r="E23" i="2"/>
  <c r="H23" i="2" s="1"/>
  <c r="I23" i="2" s="1"/>
  <c r="B7" i="8" s="1"/>
  <c r="S37" i="4"/>
  <c r="B67" i="4"/>
  <c r="U19" i="4"/>
  <c r="B66" i="4"/>
  <c r="U18" i="4"/>
  <c r="I19" i="2"/>
  <c r="N39" i="4"/>
  <c r="E37" i="2" l="1"/>
  <c r="C7" i="8"/>
  <c r="O38" i="4"/>
  <c r="G32" i="2" s="1"/>
  <c r="H32" i="2" s="1"/>
  <c r="H34" i="2"/>
  <c r="I34" i="2" s="1"/>
  <c r="P30" i="4"/>
  <c r="G43" i="4"/>
  <c r="G44" i="4" s="1"/>
  <c r="G45" i="4" s="1"/>
  <c r="D43" i="4"/>
  <c r="D44" i="4" s="1"/>
  <c r="D45" i="4" s="1"/>
  <c r="C43" i="4"/>
  <c r="C44" i="4" s="1"/>
  <c r="C45" i="4" s="1"/>
  <c r="M43" i="4"/>
  <c r="M44" i="4" s="1"/>
  <c r="M45" i="4" s="1"/>
  <c r="J43" i="4"/>
  <c r="J44" i="4" s="1"/>
  <c r="J45" i="4" s="1"/>
  <c r="F43" i="4"/>
  <c r="F44" i="4" s="1"/>
  <c r="F45" i="4" s="1"/>
  <c r="H43" i="4"/>
  <c r="H44" i="4" s="1"/>
  <c r="H45" i="4" s="1"/>
  <c r="B43" i="4"/>
  <c r="K43" i="4"/>
  <c r="K44" i="4" s="1"/>
  <c r="K45" i="4" s="1"/>
  <c r="L43" i="4"/>
  <c r="L44" i="4" s="1"/>
  <c r="L45" i="4" s="1"/>
  <c r="E43" i="4"/>
  <c r="E44" i="4" s="1"/>
  <c r="E45" i="4" s="1"/>
  <c r="I43" i="4"/>
  <c r="I44" i="4" s="1"/>
  <c r="I45" i="4" s="1"/>
  <c r="N43" i="4" l="1"/>
  <c r="B44" i="4"/>
  <c r="B45" i="4" s="1"/>
  <c r="I32" i="2"/>
  <c r="I38" i="2" s="1"/>
  <c r="C3" i="8" s="1"/>
  <c r="S35" i="4"/>
  <c r="H38" i="2"/>
  <c r="C2" i="8" l="1"/>
  <c r="K38" i="2"/>
  <c r="O42" i="4"/>
  <c r="N44" i="4"/>
  <c r="N45" i="4" s="1"/>
  <c r="I47" i="2"/>
  <c r="I48" i="2"/>
  <c r="H47" i="2"/>
  <c r="H49" i="2" s="1"/>
  <c r="E2" i="8" s="1"/>
  <c r="H48" i="2"/>
  <c r="I49" i="2" l="1"/>
  <c r="E3" i="8" s="1"/>
  <c r="F11" i="8"/>
  <c r="G11" i="8" s="1"/>
  <c r="F10" i="8"/>
  <c r="G1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Jake Rudd</author>
  </authors>
  <commentList>
    <comment ref="F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Estimates based on collected histoirc data and surveys.
</t>
        </r>
      </text>
    </comment>
    <comment ref="E3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Average annual operating loan balance.</t>
        </r>
      </text>
    </comment>
    <comment ref="E4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Total market value of stock cows.</t>
        </r>
      </text>
    </comment>
  </commentList>
</comments>
</file>

<file path=xl/sharedStrings.xml><?xml version="1.0" encoding="utf-8"?>
<sst xmlns="http://schemas.openxmlformats.org/spreadsheetml/2006/main" count="371" uniqueCount="283">
  <si>
    <t>Income Over Total Costs</t>
  </si>
  <si>
    <t>Income Over Variable Costs</t>
  </si>
  <si>
    <t>TOTAL COSTS</t>
  </si>
  <si>
    <t>Head</t>
  </si>
  <si>
    <t>Interest on Retained Livestock</t>
  </si>
  <si>
    <t>General Overhead</t>
  </si>
  <si>
    <t>Taxes &amp; Insurance</t>
  </si>
  <si>
    <t>Machinery, Buildings &amp; Improvements</t>
  </si>
  <si>
    <t>Labor (General &amp; Management)</t>
  </si>
  <si>
    <t>INDIRECT COSTS</t>
  </si>
  <si>
    <t>Total Variable Costs</t>
  </si>
  <si>
    <t>Interest on Operating Capital</t>
  </si>
  <si>
    <t>Year</t>
  </si>
  <si>
    <t>Office, Acct, Legal, &amp;Investment Insurance</t>
  </si>
  <si>
    <t>Liability Insurance</t>
  </si>
  <si>
    <t>Marketing Costs</t>
  </si>
  <si>
    <t>Other Variable and Misc. Costs</t>
  </si>
  <si>
    <t>Supplies</t>
  </si>
  <si>
    <t>Hired Labor</t>
  </si>
  <si>
    <t>Transportation to and from Pasture</t>
  </si>
  <si>
    <t>Breeding Fees</t>
  </si>
  <si>
    <t xml:space="preserve">Veterinary Medicine </t>
  </si>
  <si>
    <t>Ton</t>
  </si>
  <si>
    <t>Other Feed</t>
  </si>
  <si>
    <t>Lb</t>
  </si>
  <si>
    <t>Grain Supplements</t>
  </si>
  <si>
    <t>Protein, Vitamins, &amp; Minerals</t>
  </si>
  <si>
    <t>AUM</t>
  </si>
  <si>
    <t>Federal Range</t>
  </si>
  <si>
    <t xml:space="preserve">State Range </t>
  </si>
  <si>
    <t>Grass Hay</t>
  </si>
  <si>
    <t>Alfalfa Hay (Good Feeder)</t>
  </si>
  <si>
    <t>VARIABLE COSTS</t>
  </si>
  <si>
    <t>Value or Cost/Head</t>
  </si>
  <si>
    <t>Total Value</t>
  </si>
  <si>
    <t>Total Number of Head or Units</t>
  </si>
  <si>
    <t>Unit</t>
  </si>
  <si>
    <t>DIRECT COSTS</t>
  </si>
  <si>
    <t>Total Receipts</t>
  </si>
  <si>
    <t>Cull Bulls</t>
  </si>
  <si>
    <t>Cull Cows</t>
  </si>
  <si>
    <t>Replacement Heifers</t>
  </si>
  <si>
    <t>Heifer Calves</t>
  </si>
  <si>
    <t>Steer Calves</t>
  </si>
  <si>
    <t>Weight</t>
  </si>
  <si>
    <t>GROSS RECEIPTS</t>
  </si>
  <si>
    <t>GROSS RECEIPTS FROM PRODUCTION</t>
  </si>
  <si>
    <t>Explanations</t>
  </si>
  <si>
    <t>Number of Cows</t>
  </si>
  <si>
    <t>Calculated Values</t>
  </si>
  <si>
    <t>Enter Values</t>
  </si>
  <si>
    <t>Horse</t>
  </si>
  <si>
    <t>4-Wheel ATV</t>
  </si>
  <si>
    <t>Livestock Trailers</t>
  </si>
  <si>
    <t>Tractors</t>
  </si>
  <si>
    <t>Trucks</t>
  </si>
  <si>
    <t>Buildings/Improvements</t>
  </si>
  <si>
    <t>Capital Equipment</t>
  </si>
  <si>
    <t>Grazing per Cow (AUMs/Unit in one year)</t>
  </si>
  <si>
    <t>State Land</t>
  </si>
  <si>
    <t>Hay/Meadow</t>
  </si>
  <si>
    <t>Private Lease</t>
  </si>
  <si>
    <t>BLM/USFS Land</t>
  </si>
  <si>
    <t>Avg. Size of farm operation-owned land</t>
  </si>
  <si>
    <t>Land Size and Feed Assumptions</t>
  </si>
  <si>
    <t>Suplement Tubs</t>
  </si>
  <si>
    <t>Salt/Mineral</t>
  </si>
  <si>
    <t>Deeded Land</t>
  </si>
  <si>
    <t>Feed Hay</t>
  </si>
  <si>
    <t>BLM/USFS</t>
  </si>
  <si>
    <t>Number of Months</t>
  </si>
  <si>
    <t>Feed and Supplement Sources</t>
  </si>
  <si>
    <t>Bulls</t>
  </si>
  <si>
    <t>Cows per Bull</t>
  </si>
  <si>
    <t>Marketing</t>
  </si>
  <si>
    <t>All Calves Sold. Some may be sold to another enterprise</t>
  </si>
  <si>
    <t>Feeding</t>
  </si>
  <si>
    <t>Feed Costs are at market value</t>
  </si>
  <si>
    <t>Fall/Winter Pasture</t>
  </si>
  <si>
    <t>Bull Replacement Rate</t>
  </si>
  <si>
    <t>Summer Pasture</t>
  </si>
  <si>
    <t>Cull Cow Rate</t>
  </si>
  <si>
    <t>November - December</t>
  </si>
  <si>
    <t>Sell Cull Cattle</t>
  </si>
  <si>
    <t>Cost of replacement stock (heifers and bulls) @ market value</t>
  </si>
  <si>
    <t>Short - May; Long - September</t>
  </si>
  <si>
    <t>Yearlings (short; long)</t>
  </si>
  <si>
    <t>Percent Death loss of Cows</t>
  </si>
  <si>
    <t>Weaning/Preg Check</t>
  </si>
  <si>
    <t>Percent of Cows Weaning Calves</t>
  </si>
  <si>
    <t>Breeding</t>
  </si>
  <si>
    <t>Number of Cows (average herd size)</t>
  </si>
  <si>
    <t>Calving</t>
  </si>
  <si>
    <t>Herd Characteristics</t>
  </si>
  <si>
    <t>Timing/Approximate Dates</t>
  </si>
  <si>
    <t>Operation</t>
  </si>
  <si>
    <t>Federal/State Pasture</t>
  </si>
  <si>
    <t>Private Pasture</t>
  </si>
  <si>
    <t>Protein Supplement</t>
  </si>
  <si>
    <t>No. of Days</t>
  </si>
  <si>
    <t>AUMs/Month</t>
  </si>
  <si>
    <t>Pounds/Day</t>
  </si>
  <si>
    <t>Feed &amp; Pasture Requirements per Cow</t>
  </si>
  <si>
    <t>Central Utah</t>
  </si>
  <si>
    <t>State Range</t>
  </si>
  <si>
    <t>Alfalfa Hay</t>
  </si>
  <si>
    <t>Feed Source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</si>
  <si>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</si>
  <si>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</si>
  <si>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</si>
  <si>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</si>
  <si>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</si>
  <si>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</si>
  <si>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</si>
  <si>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</si>
  <si>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</si>
  <si>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</si>
  <si>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</si>
  <si>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</si>
  <si>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Total Operating Interest Cost:</t>
  </si>
  <si>
    <t>Total Capital Recovery Costs:</t>
  </si>
  <si>
    <t>Total Misc. Costs:</t>
  </si>
  <si>
    <t>Total Office &amp; Insurance Cost:</t>
  </si>
  <si>
    <t>Net Returns:</t>
  </si>
  <si>
    <t>Marketing Costs (per dollar sold)</t>
  </si>
  <si>
    <t>Total Costs:</t>
  </si>
  <si>
    <t>Labor Cost per unit/day</t>
  </si>
  <si>
    <t>Interest Expense</t>
  </si>
  <si>
    <t>Total Transport cost:</t>
  </si>
  <si>
    <t>Transport per unit</t>
  </si>
  <si>
    <t>Total Vet/Medicine Cost</t>
  </si>
  <si>
    <t>Vet Cost per unit</t>
  </si>
  <si>
    <t>Misc.</t>
  </si>
  <si>
    <t>Salt/mineral Cost/hd./month</t>
  </si>
  <si>
    <t>Office &amp; Insurance</t>
  </si>
  <si>
    <t>Private Pasture AUM cost:</t>
  </si>
  <si>
    <t>State AUM cost:</t>
  </si>
  <si>
    <t>AUM rate</t>
  </si>
  <si>
    <t>AUM per cow/per month</t>
  </si>
  <si>
    <t>Transportation</t>
  </si>
  <si>
    <t>Protein Supplement cost per cow/per day</t>
  </si>
  <si>
    <t>Vetrinary/Medicine &amp; Breeding</t>
  </si>
  <si>
    <t>Hay (Good Feeder)</t>
  </si>
  <si>
    <t>Private Pasture (lease/owned)</t>
  </si>
  <si>
    <t>Percentage of Ration:</t>
  </si>
  <si>
    <t>Cow TDN Req.</t>
  </si>
  <si>
    <t>TDN %</t>
  </si>
  <si>
    <t>Cost per day</t>
  </si>
  <si>
    <t>Ton per day</t>
  </si>
  <si>
    <t>Price</t>
  </si>
  <si>
    <t>Feed</t>
  </si>
  <si>
    <t>Operating Inputs</t>
  </si>
  <si>
    <t>Total daily feed consumption (T)</t>
  </si>
  <si>
    <t>Bull Daily Feed Req. (lb.)</t>
  </si>
  <si>
    <t>Total Receipts:</t>
  </si>
  <si>
    <t>Total daily herd feed consumption (lb.)</t>
  </si>
  <si>
    <t>Cow Daily Feed Req. (lb.)</t>
  </si>
  <si>
    <t>Total Heifer Income</t>
  </si>
  <si>
    <t>heifer price</t>
  </si>
  <si>
    <t xml:space="preserve">heifer wt. </t>
  </si>
  <si>
    <t>heifers sold</t>
  </si>
  <si>
    <t>Total Steer Income</t>
  </si>
  <si>
    <t>Steer price</t>
  </si>
  <si>
    <t>Steer wt.</t>
  </si>
  <si>
    <t>Steers sold</t>
  </si>
  <si>
    <t>Total Cull Bull Income</t>
  </si>
  <si>
    <t>Cull Bull price</t>
  </si>
  <si>
    <t>Cull Bull wt.</t>
  </si>
  <si>
    <t>Cull bulls sold</t>
  </si>
  <si>
    <t>Total Cull Cow income</t>
  </si>
  <si>
    <t>Cull Cow price</t>
  </si>
  <si>
    <t>Cull Cow wt.</t>
  </si>
  <si>
    <t>Cull cows sold</t>
  </si>
  <si>
    <t>Total Value:</t>
  </si>
  <si>
    <t>Replacements Kept</t>
  </si>
  <si>
    <t>Percent of Transport cost incurred</t>
  </si>
  <si>
    <t>Head:</t>
  </si>
  <si>
    <t>Cow Death Loss</t>
  </si>
  <si>
    <t>Percent of Vet/medicine cost incurred (0, 25%, etc.)</t>
  </si>
  <si>
    <t>Salt/Mineral (Yes=1, No=0)</t>
  </si>
  <si>
    <t>Cow Replacement Rate</t>
  </si>
  <si>
    <t>Private Pasture (Yes=1, No=0)</t>
  </si>
  <si>
    <t>Percent heifers</t>
  </si>
  <si>
    <t>State Range (Yes=1, No=0)</t>
  </si>
  <si>
    <t>Percent steers</t>
  </si>
  <si>
    <t>Federal Range (Yes=1, No=0)</t>
  </si>
  <si>
    <t>Weaning percentage</t>
  </si>
  <si>
    <t>Days Protein Supplemented</t>
  </si>
  <si>
    <t>Cows per Bull:</t>
  </si>
  <si>
    <t>Number of Bulls</t>
  </si>
  <si>
    <t>Days Fed</t>
  </si>
  <si>
    <t>Days of Month</t>
  </si>
  <si>
    <t>Days/Months:</t>
  </si>
  <si>
    <t xml:space="preserve">     Private Meadow Pasture</t>
  </si>
  <si>
    <t>lbs of feed needed each day</t>
  </si>
  <si>
    <t>lbs of feed needed each month</t>
  </si>
  <si>
    <t>Animal Units</t>
  </si>
  <si>
    <t>(AU)</t>
  </si>
  <si>
    <t>Grazing Days</t>
  </si>
  <si>
    <t>Harvested forage (Tn)</t>
  </si>
  <si>
    <t>Harvested</t>
  </si>
  <si>
    <t>Forage</t>
  </si>
  <si>
    <t>Tn/Ac</t>
  </si>
  <si>
    <t>% annual increase</t>
  </si>
  <si>
    <t>% increase compared to 2015</t>
  </si>
  <si>
    <t>AVG Stock Density</t>
  </si>
  <si>
    <t xml:space="preserve">Replacements  </t>
  </si>
  <si>
    <t xml:space="preserve">Bull Replacements </t>
  </si>
  <si>
    <t>Cull Cow Weight</t>
  </si>
  <si>
    <t>Cull bull weight</t>
  </si>
  <si>
    <t>Steer Weight</t>
  </si>
  <si>
    <t>Heifer weight</t>
  </si>
  <si>
    <t>Feed Requirements</t>
  </si>
  <si>
    <t>Total Daily Herd Consumption (lb.)</t>
  </si>
  <si>
    <t>Total Daily Herd Consumption (tn.)</t>
  </si>
  <si>
    <t>Input Prices</t>
  </si>
  <si>
    <t>Output Prices</t>
  </si>
  <si>
    <t>Cull Cow Price</t>
  </si>
  <si>
    <t>Cull Bull Price</t>
  </si>
  <si>
    <t>550 Steer Price</t>
  </si>
  <si>
    <t>500 Heifer Price</t>
  </si>
  <si>
    <t>Total Calves Weaned</t>
  </si>
  <si>
    <t>Annual Grazing Schedule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</si>
  <si>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</si>
  <si>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</si>
  <si>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</si>
  <si>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</si>
  <si>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</si>
  <si>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</si>
  <si>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</si>
  <si>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</si>
  <si>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</si>
  <si>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</si>
  <si>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</si>
  <si>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Fed Hay</t>
  </si>
  <si>
    <t>Protein Supplements</t>
  </si>
  <si>
    <t>Federal Range AUM</t>
  </si>
  <si>
    <t>State Range AUM</t>
  </si>
  <si>
    <t>Private Pasture AUM</t>
  </si>
  <si>
    <t>Salt &amp; Mineral</t>
  </si>
  <si>
    <t>Alfalfa Hay Required (tons)</t>
  </si>
  <si>
    <t>Protein Supplement/hd/day</t>
  </si>
  <si>
    <t>Revenue</t>
  </si>
  <si>
    <t>Federal AUM cost</t>
  </si>
  <si>
    <t>Fuel, repairs, maintenance</t>
  </si>
  <si>
    <t>Interest Rate</t>
  </si>
  <si>
    <t>Breeding Fee</t>
  </si>
  <si>
    <t>NOTES:</t>
  </si>
  <si>
    <t>January - May</t>
  </si>
  <si>
    <t xml:space="preserve">Common practices are assumed by metting with county extension specialists and industry experts. These are general and as such can be adjusted for individual producers. </t>
  </si>
  <si>
    <t>April - July</t>
  </si>
  <si>
    <t>October - December</t>
  </si>
  <si>
    <t>May - September</t>
  </si>
  <si>
    <t>December - May</t>
  </si>
  <si>
    <t>September - November (Small Calves Jan - Feb)</t>
  </si>
  <si>
    <t>Feed per Cow (ton/unit in one year)</t>
  </si>
  <si>
    <t>Straw</t>
  </si>
  <si>
    <t>Straw Required</t>
  </si>
  <si>
    <t>Fed Hay &amp; Straw</t>
  </si>
  <si>
    <t>Non Fee Grazing Cost</t>
  </si>
  <si>
    <t>Tons of Forage Required</t>
  </si>
  <si>
    <t>Capital Recovery</t>
  </si>
  <si>
    <t>TOTAL INDIRECT COSTS</t>
  </si>
  <si>
    <t>8a7fe03d48bc8248632eb26033408197_x0004__x0005_ÐÏ_x0011_à¡±_x001A_á_x0004__x0004__x0004__x0004__x0004__x0004__x0004__x0004__x0004__x0004__x0004__x0004__x0004__x0004__x0004__x0004_&gt;_x0004__x0003__x0004_þÿ	_x0004__x0006__x0004__x0004__x0004__x0004__x0004__x0004__x0004__x0004__x0004__x0004__x0004__x0001__x0004__x0004__x0004__x0001__x0004__x0004__x0004__x0004__x0004__x0004__x0004__x0004__x0010__x0004__x0004__x0002__x0004__x0004__x0004__x0001__x0004__x0004__x0004_þÿÿÿ_x0004__x0004__x0004__x0004__x0004_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_x0014__x0001__x0001__x0001__x0005__x0001__x0001__x0001__x0006__x0001__x0001__x0001__x0007__x0001__x0001__x0001__x0008__x0001__x0001__x0001_	_x0001__x0001__x0001__x0002__x0001__x0001__x0001__x000B__x0001__x0001__x0001__x000C__x0001__x0001__x0001__x000D__x0001__x0001__x0001__x000E__x0001__x0001__x0001__x000F__x0001__x0001__x0001__x0010__x0001__x0001__x0001__x0011__x0001__x0001__x0001__x0012__x0001__x0001__x0001__x0013__x0001__x0001__x0001__x0003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!_x0001__x0001__x0001_"_x0001__x0001__x0001_#_x0001__x0001__x0001_$_x0001__x0001__x0001_%_x0001__x0001__x0001_&amp;_x0001__x0001__x0001_'_x0001__x0001__x0001_(_x0001__x0001__x0001_)_x0001__x0001__x0001_*_x0001__x0001__x0001_+_x0001__x0001__x0001_,_x0001__x0001__x0001_-_x0001__x0001__x0001_._x0001__x0001__x0001_/_x0001__x0001__x0001_0_x0001__x0001__x0001_1_x0001__x0001__x0001_2_x0001__x0001__x0001_3_x0001__x0001__x0001_4_x0001__x0001__x0001_5_x0001__x0001__x0001_þ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0003__x0004_ÿÿÿÿÿÿÿÿÿÿÿÿÿÿÿÿ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 _x001E_9QB¥Õ_x0001_þÿÿÿ_x0003__x0003__x0003__x0003__x0003__x0003__x0003__x0003_R_x0003_S_x0003_K_x0003_L_x0003_I_x0003_B_x0003_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0001__x0002__x0001__x0001__x0001__x0001__x0001__x0001__x0001__x0001__x0004__x0001__x0001__x0001_#d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0002__x0003_ÿÿÿÿÿÿÿÿÿÿÿÿÿÿÿÿÿÿÿÿÿÿÿÿÿÿÿÿÿÿÿÿå_x0006_»a@ÏQ[*Ec@~-_x0008__x0007__x001E__@*P_x000B_Õ+Ôh@_x0019_´¸_x000B_é÷f@AY0÷íf@×î_x000B_ïFÆg@Òü6{lîa@ö¤Û¶^@¡ç_x0005_ûkW@SQ9¯_x001C_§e@¦ûµù·«]@_x0012_B-_x001D_VQ@ZnÓá.^X@`º]Öí_x0005_f@_x0011_P_x0018_&amp;da@çmÎKä\a@´_x0007_Ë?)Pc@é£lºûb@Æ·¢Fè_x001D_d@_x0016__ZVrÚW@·i&gt;/Q-h@2þÝþeWY@ÕÂÏAÓM`@+_x0001_Û¹4f@2¼89¸d@_x0008_©ûÈ¹R`@«_x0002_Ð_x0001__x0003_j@Â[_x0010_NÀ_x000F_n@bª!\æ¯d@¦\Üßÿl@¹ÓÐpüc@_x0016__x0012_Ý_x001F_\@	_x0017__x0011__x0017_3éc@_x000E_×	Éd@·²J,c@Pc×&amp;Æv`@`ì,C²²d@Dïòk@Þä_x000F_í_x0013_r@^n_x0006_ W@g÷ýýnøe@úH="Ú_x0012_g@PÎn$©k@_x000E_MÀ _x0013_W@R_x001A_Ú9J@ÎÞ½Rë\@_x0017_NkHÒCc@È_x0019_#_x0004_i@ëêI?$/^@_x0013_îí_x0005_Ñwn@xë_x001A_´×ïF@ÀGÆ_x0010_ìb\@&amp;E&gt;)ø`@ö+»)¼èf@î_x0002_Ç¤ËW@¥7¸òråV@Fz£}_x001C__x0001_V@«u³kCf@_x0006_	¸§Èº_x0012__x0002_C@_x001E_lf_x0016_Cn@._x0005__x000B__x0017_E [@º_x001C__x0001_LØf@³K±_x0007__x0008_d@_x0001__x0006__x0006_#¢Þ]%¢Þ]_x0001__x0006__x0006__x0006__x0001__x0006__x0006__x0006_è_x0003__x0006__x0006_è_x0003__x0006__x0006_è_x0003__x0006__x0006__x0003__x0006__x0006__x0006__x0002__x0006__x0006__x0006__x0002__x0006__x0006__x0006__x0006__x0006__x0006__x0006__x0002__x0006__x0006__x0006__x0001__x0006__x0006__x0006__x0001__x0006__x0006__x0006__x0001__x0006__x0006__x0006__x0006__x0006__x0006__x0006__x0006__x0006__x0006__x0006_°jOèRö?t_x0004_`_x0017_ëÕ¿)r\1ï?ó¯Ë«Ýð?Í©a»ýçõ?ª°Û_x0015_M^ö?_x001B_!çç¶dñ?_x0019__x0003_ÿDá?_x0019_Ö_x0018_([iö?_x0015_%rA ¾î?$£"×_x0017_Áþ?°X,,T_x001C_ô?_x0010_WP_x001E_å _x0006_@S{á_x000C_ê?n¶&amp;\ð?^l7_x001D_òWë?Ëñ$è_x0002_@z¬_x0003__x0004_i_x0002_ü?{_x0003_}_x000F_=ãû?ôô_x001A_Ý?öX¥s$_x0005_@¶³p_x0004_Yó?ºö_x0005_30Éë?²5$§ T_x0001_@ºBøyUó?¨_x0011_£_x001D_ÛÝ?¦¨!þñ?_x0017_ÝÐ©¼Ô÷?h5´~ù?_x0019_ÉÚ±ZÎù?#C®~Ê´ë?Âºô_x001F__x0011_ü?Ö´BÔ¬å?&gt;	»Ýúaû?p(ÉÔ`_x0002_@â²_x0002__x000D_i4_x0001_@·Ò6à«©î?#ÑL_x0012_Òìõ?È_x000C_	¬vÔ_x0001_@â),æjý?(8_x000B_GÄ_x0003_@_x0006_=Ê`xý?Bq_x0011_(_x0018_ó?_x0019_Zä*Ôö?_x001B_ëbÍeû?­g!÷Åì?g{ß0þö?I._x0018_²*$ö?¼P4ºP._x0001_@_x0002__x0004__x0010_Ý;«øn¾?_x001C_F%_x000B_hô?¡ç_x000D_ò&amp;Ò_x0002_@£!_x0016_í_x0001_Z_x0001_@_x000C_ª%&gt;:&lt;Û?_x0002_áj$¶üû?¯Ð©ºpð?Q°9&amp;Kû_x0001_@ NÒ[æç?(£­p~ý?sD_x0004_?wvü?Ê	_x0004_»üSà?9=É+Ùá?­v_x0011_'`R_x0002_@Lµxö_x000F_ù?_x000F_áò®í?¯v%Ä²»ù?ÁíÆ_x000B_:ù?&amp;÷ødô¸þ?_x0016_#ø/ðþ?3±°,¯b_x0002_@URW+­!ù?£kbÌÐ_x001C_ç?æmäS5Ìä?¸AÎá¿ùñ?I..*·3ù?2&amp;Þ¾è?_x0019_	ùnP_ù?ó¸ß©ò?N+!_x0016_±"ñ?	JáÊ;_x0003_@_x001A_&gt;&gt;_x0003__x0004_}Xò?5\+ðbqú?c­ê¥Sàï?®dãÛÕcè?¿ößz(ú?Þ&amp;áz_x0005_3ô?,É_x000B_ $ù?qËþòB_x0006_ù?ue (û?!s"Û]äè?_x001A_%l_x001A_¦ú?¤eHÂý?»_x0017_ýßjÜò?_x0010_ç·AØ_x0013_ñ?é÷¤Jº~ø?_x0008_Ù4-ïò?Ü2õ_x0006_ý?_Ü/_HO_x0001_@0_x001D_·e²¤Ù?Æé{Q`ú?%ÊãÉ_x0014__x0002_@_x0005_äq7#_x0001_@uÅWìþÃõ?7_x0001_Ð¼_x001D_ú?p=&amp;­­Ê_x0001_@ïF_x0011_*ïÝõ?¢ò¥}ð?ÞGzKY[î?ø_x000D__x000C_¡¶Aß?~»^;éÿ?e9Ûqð?Ûª)[_x000D_î?_x0002__x0005_[G®Íô?5ïE	¨ù?Îcr_x000E__x0002_@û]H§±1÷?Îº_x0003_Nr±þ?FªÖóõÍ÷?äE½e¡Ü?	­µWð©ö?"Ö8¢Õ&amp;ô?¬ÇâAù?Ø_x000B_½àdþ?·,_x001F_%REæ?ÄL¸û?_x0002_7q¬w?¤_x0004_Âô{õ?_x0001__x0019_6Eú?ô&lt;_x0010_Ð4¡ù?ùn[ï_x001A_xó?à_x0004_/îäý??R¥­ý?8_x0011__x000B__x0015_g_x0002_@:Z¥¯gû?âõÀ_x0015_­õ?ß_x0005_´_x000F_ü_x0002_ö?ÀÚõÝô{ú?T9ólÂ_x0003_@_x0002_ÀP_x001D_à9ñ?jpy¨ñÅô?_x0001_Õ¯~-³_x0002_@_x000D_©ä0ó[û?o2:Véò?ÚÅÌ_x0003__x0005_cø?­Rbf2vù?]_x0006_×s¢aø?;_x001A_Oyhù?Ã_x0012_è?HÂô?I_x0018_Z3õ?_x0007_s_x0008__x001A_v_x0004_@vo_x0003__x0014_ÿ?dcîLîû?åô_x001A_Ç_x0013_ð?má_x0019_Ðô?_x0007_-CGAßù?:-&lt;)Ç_x0001_@àb§s.Èò?_x0007_ËºxR_x0010_ñ?Åy_x001E_ÊJÞü?xjòñò?_x0012_.ª¿Lö?p¸_u/ò?Tzd´lQø?p~n`mï?ÿë²câø?Îöè_x0013_Â	ï?´ý)_x001C_¯àñ?_x001B_}µ_x0019_WRþ?SòdÙ_x0010_[ô?O!_x0007_ö_x0016__x0003_@ÔB÷_x0004_'q_x0003_@èù&gt;ÿ?å_x0013_&lt;W_x0019__x0002_ì?2Sxd¾Fü?àS_x000C_;Öþ?_x0008__x000B_8.îÜÄêý?Û*n_x0013_Øò?4ÊWY$´ú?Ô_x001D_¦ÞÏ¢þ?L3h@þ?`ó¹}Ïó?r_x0014_nåú'_x0001_@Öµ¹QyÒ_x0003_@®m0%;_x0007__x0006_@YOøDÂø?\£	Q_x000B_õ?üÁ"~~@ð?_x000B_´l»2_x0008_â?\ó_x001E_|_x001A_]_x0008_@Gg2$_x001A_ü?P_x0011_¾_x0004_³Ôö?_x0018_Z_x0013__x000C_¾D_x0005_@ÈÕ§ÿò?ÔwÞ¡/Sý?_x001E_½mwá³æ?_x0016_^¾c.Ùñ?°~¯êF¾ó?ZÞ_x0007__x001D_äù? ©°Öõ?\öú39ø?_x001F_Ã,Õ_x0004_ú_x0002_@ OßÔoâ?_x000B_ñÐõ_x0019_L÷?s[¨pÜñ?ÿLþM(­é?³O²Jì?7#;,_x0005__x0006_jÑþ?&amp;_x0014_Ë¸Ïý?ëª­Ì@_x0013__x0005_@Àï'»/rÿ?ïtn}õî?âËQ¯tà?$É0é_x0005_+÷?qÏ(_x0008__ã?°sî¯_x0019__x0018_ö?áì_x0015__x000B_÷?Hfcx`÷?]¤ÎN'éþ?°_x0017_H"&lt;_x0001_@_x001A_´¶_x0002_j_x0003_þ?þ¨_x0007_[¢iú?V_x001F_]Æø?ê1ô L _x0002_@è¿_x0019_RPþ? î_x0013_ïó_x001B_ï?_x000C_ä­! èð? âgìóB_x0001_@ÀÏ¶_x0010_nü?6á_x001F_bk_x0001_@&gt;¶¸®ò?_x0013_"Jt_x001E_(í?jë_x0007_^ñï?O{òKÿ?¼?_x0010_f3_x0004_@R×r¥÷¬ø?ÒJªtÒa_x0001_@â3*µ²Èö?_x0010_ÞÛ»._x0002_@_x0006_	[e­_¸ü?3_x0019__x0011_ã?R#MäRdô?*7_x0004_|-ù?àµ¥Ö;'÷?SKä\?ó?jd_x0015_Î~ù?êe_x0015_¬Xø?y_x000E_±écö?87îÁ`_õ?#¬s³_x001D__x0002_@	M97 _x0001_@*Âg¼_x0016_Lê?º©¹öÓ!ô?gÑ__x0005_,ú?æXsØ^6ÿ?èy¦	=ü?áM{où?[©_x0016_Åç?ÖsÄ8LMû?ªØ#ÔBø?	U#òlù?_x001C_ÕAÿ?	_x000D_· è_x0003_@6	_x0002_ïù?_x0012_ôt1åê?Ù_x001A_Çc_x0007_÷?ô_x001C__x0011__x000E_6ï_x0003_@°_x0008_¸@±_x0003_@l;»×3dÿ?w¢v_x0003_È}û?¨¢_x0001__x0002_/é×?Xå?_x001D_L×÷?|wøïÈ^÷?J©ëÀî?`)hä/ý?_x0002_ç°ÑÉ_x0004_@í¶n_x000C_¬ô?Û5+¡_x000B_ý?æÿæ½k_x001D_î?HÝ£23_x0017_ø?^GúÁý?ÙzõÁz_x000C_à?B®Ø_x0005_ÿ?½¨ú9îû?¾Eá 6ëö?Bº4_x000C_öú?d*t½_x0002_°÷??ÜNÝ]¥ÿ?zÂ	çû?Cj`a2ó?¤G¥_x0012_¼û?ZhÐ&gt;?_x0001_@Ïg.³_x0014_ý?_x0010__x0013_òÒZÚý?¦á9ÕAÞþ?Ì_x0011_[¦ñ?¨èÐx_x0001_ô?&amp;Ð2õðAý?ÁR&gt;©ñ?\my_x0013_åî?ý(_x0015__x0013_á?Rv(Óû?_x0001__x0005__x0003_=Õ?aé?_x0013_×J9{ñ?bÃXWü?(è_x0010_äèó?_x0018__x0018_Mk²ö?Øá_x0003_G2ü?±¹*°í?õÞ_x0017_ó	ð?ã.³ òö?_x0005__x0013_ÀW_x0005__x001A_ð?óº0üðð?_x0006_EÞc@Gý?ÅÙ;8ê_x000B_ú?((:waÔú?¨©ÏMS³ó?öf~4eg_x0002_@c"oÌ'þ?"U,+:Íÿ?ì´Ío_x001C_ßõ?6\ÿI_x000E_\ê?ÈíX3Yõ?a QXËá÷?ýÉô_x001F_sñ?_x0016_yûW«(ø?¿º_x0014_¦Ä_x0011_õ?XÓL_x000C_ Mþ?I¨z½Á_x0004_@xòn àFù?%_x0011_?_x0018_Cþ?bga}\kø?·D_x001E_¥iï?º´÷Ì_x0003__x0004__x000B_»ñ?ê-Àp»ü?_x0001_/V[_x0003_@_x0003_Go§j_x0003_@_x0003__x000F_ô2_x0004_ö?©¿ÂÝå~ü?ë	"³«Jó?æm_x0007_¢_x0005__x0002_@½«-ð´ü?Ì¶Óó%ü?}¢í«Árõ?j¡J_x0005_)ý?T¿l!óõ?¡ê1_x001B_ëÀ?õ!Y÷ª_x000B__x0001_@²íwíBí?)Y6Ï[Úó?î_x001F_FC_x0008_Þø?äÊ_²î?ËÌ´ë¼Pú?ìJª[_x001A_÷?_x0004_c,¡_x0017_ÿ?!a_x001D__x0013_ªãô?Þ)ÕÑ ò?©Å&gt;"Fô?I93Ç¥_x0003_@zÒ_x001D_®Í"þ?Ð3}n±7û?=K­8R¦ö?ÈluÊó#ú?_x0019_eãç_x000F_ï÷?_x000F_&lt;61_x0006__x0003_@_x0003__x0004__x0011_8jïIzù?ÿ}_x0011__x0015__x001E_ø?2¹ÆL_x001C__x0003_@Bn¬Séõû?I×gµá_x0002_@b/Ö_x001A_³ãÿ?_x001C_åÅ¹ë²_x0005_@XÉÛTNô?¬×5ZE8Ô?_x0004_4Æ~ N_x0003_@Ö_x0014_s¿ò?½ù_x0012_hK÷?_x0003_z._x000F_æ_x0001_@±c_x0016_÷?¼ý¼_x0011_[ö?Y.8¹õ?Q_x0011_FÀ®öð?ÊyY9Î«ó?»¢;DNpï?»Å-_x0014_ü?àý öKþ?n!Bþ?_x001B_;¨_x001E_þ?¨:úîÒ_x0008_û?\ë1Lô?_x0017__x0019_¹üõ?m_x0002_UìÁ_x001D_ö? gbf8ô?@ëð_x001B_ðÉú?xtµn¾F_x0003_@þ2±Ûò?Ï¬{Õ_x0003__x0006_ö?h·ó©|ô?¨_x0010_Eb_x0010_ó?µ\#õ^ó?\0»_x000E_üÁ÷?Ly69ß_x0003_@¯U!Ôù?Èÿ°ÚÍÕö?k_x001D_Ý=ó?7d_x000E__x0007_ìËû?ì(µîúÛ?$_x0019_ÇM_x0002_@{r·òôý?,_x0016_¿¾-¾ô?I_x0015_Ã_x0004_`ü?{¢HÕ©û?¼pf¡9_x0005_ü?}ÀñüÙzö?²ö'_x0017_òô?#Æµà°ú?b2Û_x0014_ú?_x001C__x000D_Ê-xeð?6æÑ±ÈHø?_x001D__x000B_úËð?_x001C_éÇ¼ßqö?øZ/e` ð?yãzGæò?BGØ1÷âþ?tµ3£_x0001_ú?`_x0012_¡÷Z1ø?Üa»_x0003_@6þ6&amp;ºú?_x0005__x0008__x0018_ôÚ¦ßh÷?*&lt;°&amp;À_x0002_@F.ôï?_x001C_mÁ-Rù?æÏÎÀ;Cö?¶f!ñ,%_x0005_@_x0007_áÞrAù?_x0007_,_x0001_Ú	Þç?¢I8¤Þ"æ?_x001F__x0004_zq77ö?,_x0017_¯{eú?._x0013_=e\ró?vnÄZ$/ü?£§F~¼õ?¬_x0013_6PK_x001F_ý?fdEk_x001E_þ?£´QøÝø?ú!ãÊëÙú?_x001D_y_x0011_ò?iôjR,Eõ?_x001E_|ç:,_x0004_@Oj¡_x0010__x0007_þ?_x001F_z­	?ã_x0005_@V2ê}ò?_x0003_ì_x000C_ùvä?C U±ÉÏø?¶_x0007__x0004_6_Q_x0006_@_x001C_ghÖÉUø?×IÐË_x0011_ù?ôV9×¬ú?A¸+ y_x0005_@á_x0018_}_x0005__x0007_"dü?²r4/_x000E_÷?³_x001C_o_x001D_^{î?_x001A_M´^²×í?üØº_x0001_G÷?È/V_x001B_tø_x0005_@{E`i2)ö?Cåónßè?¿_x0014_#Øà?z==_x0004__x0012_ø?¼kÀef_x0010_ì?bnW_x001F_§ÿ÷?`_x0012_½+oRî?ü]r|_x0005_õõ?9¾à_®_x0006_ñ?_x000E_Ð:Kdó?8½êö¾Þ?±Õ_x0003_kHõ?ýo	¨.é?arþYÎá?Z	î	_x001F_û?qB_x000F_V+ô?_x001F_!Õ^¼Å_x0006_@@æ_x0019_KtAü?²ÕSBðã?ÄJrüvz÷?ßùÒà _x0002_@a_x0001_Ý¾àËø?§uÄE­Ýö?d¦,J¤±ò?ËÛÆ1Èqô?L±ÃÌñ?_x0002__x0003_FZ_x0019_åÞ×î?çÕk'+´_x0002_@·_x0017_è®õ?ùK²Yüø?ãW£È_x0002_@SÞî_x0018_ÿ?,ëk-]ø?4+×_x0019_ù?ªA_x0008_P__x0012_ô?®ÆÜyÐXô?_x001D_:_x0007_~_x0010_Aô?D_x0006_capý?LY·G*c÷?_x0004_+D¿FBä?¼ùÆ%»oã?'ª'¬Xpû?þôÓE¼çý?_x0017_*_x001B_´y÷å?^°§5_x0016_@ñ?]O_x0001_nç?¨_x000E_|õì=ø?ôáiy­ö?Ñäd¢_x0013_÷?KÐá8f_x0002_@.Fï:jÿ?Go/h§Òå?îr_x0011_Î/ç?èF_x0011_¡6­_x0002_@¼_x001E_x_x0010_Ýu÷?_x0008_½_x000B_°üý?à=PÍÀæ?¼_x001A_Îg_x0005__x0006__x0001_Oò?R0_x0005_±oZ_x0002_@y_x0005_kÚÊ_x0003_@_x0005_¼ÆÝ_x0013__x0001_@ñLnÉ=ò?dGX'_x0012_Öû?×EKÒº_x0005_@&gt;Ã±§;ú?Àý/»ç£ò?wÇ¸_x000E_)ÿ?ò:½ÇÉí?C·V)A~ú?D­Q_x0017_oò?¬åv_x0005_@¢ÈÃ@Yé?ºs_x0014_÷\ñ?×õÊ&lt;\_x0002__x0001_@óÙd¸þù?$¶ºú?_x0005_Ë D]ó?(_x0012_-]ù?và_x0002_ò?¾îp=n\ò?£û	Tð?_x0012__x0006__x0005_B[2ú?hÏö_x0016_éô?1ëúF_x0002__x001C_ú?µ;[pÂè?:6\'LÕ_x0002_@ý6aCj2ñ? _x0004_B(áÑ?_x0008__x0008_2}_x0001_@_x0004__x000B_ô_x0008_á@_x0004_@A9µÞð®ÿ?"_x0013_i_x000F_Gô?ÀvðÃü?ð_x0007_*Oì~í?ïÉJòk7å?âdÛgþ??²t¯áó?Ðtm8_x0007_@T\sOÐ¦ó?¡_x001B_$¿_x0005_ø?G±TAÎÆù?7&amp;	_x000E_íó?Ø_x0015_¿2¦vò?Ó_x000C_{.+ü?-:uyÒi_x0003_@_x001A_Õøwí_x001D_ÿ?_x0002_FìÑÐ¿ê?ýñ¾=èö?éöyH_x001C_øö?{Ñ_x001E_®GÇû?_x000B_;_x000B_9ú?´_x001C_ËÌ«ý?_x0010_¨Ö_x0006_¤_x0001_@è&lt;í²ð?? Y,ô?C"Tdú?ößö?¥ü¡_x0011_Ìì?&amp;=WßÖQñ?½_x0003_2_x000F_ú?¡ åÚ_x0004__x0007_óÂ÷?ìD$?ò?_x0015_Q	_x0001_ílñ?ÜÿkýOãü?_x0013__x000B_µòvµô?éSÊ²_x0017_ö?c	STY&lt;û?}áù¬Iñ?Fy_x0006__x0005_f_x0001_@èe.|~×_x0004_@s/Á-zô?î_x0018_«Æ_x001B__x0001_@æ4_x001D_,ë_x0004_@d_x0003_¨|_x001B_-_x0004_@§`Kýô?&amp;ï±ÖÄú?¥æ_x0012_&amp;aÿ?¬16_x0001_·_x001C__x0003_@oz+ßB_x001E_ñ?Õ¯Ø_x000D_¡ô?Á´¥õ?PyÍ`ø?®*Ky8_x0004_ê?x Ñ.ÿýì?]ázBö?¥NÇZ@_x0002_@Ðýl}SÃõ?Ï*Å·_x001C_:ù?Àç¿z_x001C_¹÷?6?_x0016_¾R_x0006_ó?Ïîv/ß¤â?©_x0012__x0006_³ðÏð?_x0002__x0003_¯_x0004_ê6~(õ?4=ñwkí?Dj-_x000E_å"_x0001_@îìO_x0011__x001F__x0004_ô?_x0017_{ÉÞ_x001A_ò?w¶½ñ?èuõeù½_x0002_@Ê Õû ÷?tÔ©øê÷?4b«ÐìSó?ô]Ã¯¾õ?Z_x0012_»W_x001D_·ò?Z.åñçõ?¶Èeº_x000E_ü?!¬\_x000C__x000E_í?¸p_x0008__x0016_3ý?×fÎzlò?&lt;sXï_x0019__x0017_û?_x0002_Láó|_x0015_è?_x0011_÷_x0010_u÷?_x0004_6_x0016__x0001_Û_x000B_ó?c)_x0017_«;óö?*ãðKïì?P/\2¡ré?¼éaZ0ý?¡ã_x0017_mÑû?4^£â´û?¿wi±À7ò?kTäÁ¼ð?Út:«BÛ_x0004_@ÛYNwLÜô?	H _x0005__x0002__x0008__x0005_ïø?ò~Å_x001A_p¬÷?_x0007__x0006_´§þ?^@¾ø?	?Ôm_x000B_ú?_¼ð_x0001_Óõ?\y·Ñ_x0014_xþ?_x0002_Ka¨Øõ?r"T_x000E_ö?&lt;&lt;Bù_x0001_÷?¶/*evÄñ?ÑB_x0015_Í+ü?_x0011_$wãOý?AÂ®rç¬ü?ìâß_x0007__x0002_@æÇ_x0008_²_x0001_ ó?_x0008_°wtº_x001B__x0004_@P+0ªUû?÷Ô¶I³ñ?÷=¸%Zðë?Âä^xJ_x0001_ù?=!_x0012_Ùé_x001F_ù?¬RþÍÌõ?æM_x0002_xÄ_x000B_ü?õ =HÉ¯ù?_x000F_Õ2_x0014_½Þú?±(ý¨`öù?J_x0003_9o²_x001D_÷?/ÏCùä?2-ê²æ¥ø?_x001D_¢;¹CEó?åÑ,-_x000F_^þ?_x0005__x0006__x000F_æO²?Jù?ÿ_x001A_ÚÔ_x0012_û?._x000B_X¼!Ïé?ø´8ä1_x0002_@­­0½ú?þÈÆ_x0010_´_x0001_@_x000F_aJKã_x0007_@­îÏM@é?_x0008_ [;ÉVÚ?oÛ6_x0002_ë?:=õÛû?°Øô?ÆV_x0015__x000C_Öøò?_x001A_ò§(Ìü?÷èÁ(:÷?0Ðª²Ëã?G}_x0012_a×þ?4_x0011__x0001_ÿ?ãè_x0007_þ/üó?í¢ÆzÍJ_x0004_@_x0014_á&lt;_x0018_ì_x000B__x0003_@¹pÐÿQø?_x0015_^ë&lt;éü?6Ò_x000E__x0016_Årú?ù_x000F_=½:þ?Uü~5ì7ë?ë·¿$³ø?9ö¶Ã·ÿ?_x0014_x_x0006_·ð?_x001E_Ë*_x0003_@ß_x001C__x0017_å? Þ_x0003_	ÎrÎ?T(þcæ?³_x0006__x0014__x0007__x000C_õ?Ò%õóÜ·÷?L"+_x0018__x0019_)ø?ëÄ~*{ì?@¸Bâw_x0003_@_x0016_|¸_x0001_@_x0017_å'¶R_x0012_÷?"»ò8_x0001_ò?¦_x001B_¸U¢ó?ÆÈ&gt;2z_x0001_@*¶A8±%ð?²^Ñ¸%û?_x0005_ÔÊß_x0008__x001D_õ?ãx¢È_áö?_x001E_×	¤7ð?_x000B_Õ~ ­ü?ôB_x0008_Cú_x0003_@Ðm¸ói_x0002_û?_x0016_$¿R ø?¶"7ë_x0004_@¾úrþ_x001A_Óò?¸¡Ã^_x0011_2ç?Ò=¬­_x0003__x0001_ø?cEºØ¦ó?2©ûMû×ó?Ï£àJäÔù?Ðç^ë|ðü?wÌ0v,û?_x0013_¿§¶ó?_x001C_ù_x0007_D_x0002_@_x0004__x0007_ R#Î¨_x0002_@ùê3a_x0019_B_x0002_@þ´øÖkó?ùsÃ_x0008_ù?¥¡&amp;_x000D_WËö?Âæ´äÍz_x0002_@®x'+±K_x0003_@ñK)%É÷?_x0015__x000E_7î?JÚ^â\¦û?"O{Oè?_x0019_âi_x0016_W÷?·U\ªFÅò?ê{|_x0007_ò?Fs_x000F_ÇQ_x0005_@ÓäoôÖÿ?_x000F_A¤Æ_x0013_é?(ü­_x000F__x0002_@j«)²=ó?Ýd.g)_x0004_@_x0003_Lk×Ô÷?Ø_x0006_tïnõï?_x0005_y&amp;_x000B_ýò?[_x001E_Hg_x001D_ü?\½øN±ô?b·CÔ«Cï?¼#ËQ_x0007_ô?AåÃÎINë?ã5X¡Åkë?ö4ÒOí?³&lt;Ðý_x0001_'ù?E+¬M_x0004__x0005_,K_x0004_@_x0011_Ê_x001F_¹`Õâ?²![D^Zÿ?_x0007_ü»ipMü?|*_x001D_·Qs_x0001_@®iÊ¶ù?Ñ%m½©ü?°úÿK­ºø?8«Üoø?Phì{_x001D_Íó?4_x0007_vÿü_x0003_@Ô?Ê4*ó?_x0012__x0006_sVíÊ_x0002_@%å,äé?fÏËîrññ?_x000C_fêçù?GÞ®H-0ì?R^ÅéÁ_x0005_û?_x0002_©L0§ë?_x0013_$¹dPü?=LènÄ_x0007__x0001_@1_ò±_x0013__x0003_@HJ©*	:ö?LJ(Ì¨oô?06@Âú?=$ÜðÈ_x0004_@òöu^÷Üý?sO¤ÝqÆ?¼zwSúhû?_x0005_ÚA¨Âð?Rs2¹9õ?ÜÈ/?Ç_x001E_ä?_x0006__x0008_¯þÉ¢ÍU_x0004_@qF_x0006_\Þö?7ë_x0011__x0008_,Lû?²_x001A_"ÍAîô?½E_x0013_#Ðú?Xu_x000B_´ýÿ?Æ_x000E_ÕO¯û?J_x0001_p_x000C__x0007_ö?= ~Ê±ï?_x000F_¬Y¢ô?ÀqÃÎü?_x0015_a!.yKð?ORy_ýþ?Ú_x001B_Ð{«í?}¸_x0008_Àï÷?­¹h×ù?Ï_x000F_qµOVñ?­È:Ò:_x0012_ý?_x0010_Ã_°-õ?NU_x0005_W@vû?Çeg'ò?_x000F_ú.:¦_x0019_ó?V)w?_x0003_i_x0005_@o´_x&gt;ý?D_x000F_xëú?`á2ÈAû?u7è±ûô?£_x000B_f¾g_x0008__x0002_@|]¦_x0018_ªñ?_x000F_äN©Êý?ûõ[}A,ñ?ìA_x0001_»_x0002__x0003_²`ò?_x0012_ý_x000C__x001D_ý? ]Þa/ö?¾,pa@¬_x0001_@C2kê?ÌNf_x0013_:ì?FÿH_x0013_Dïí?zº:(ä_x001B_å?Þ#²­#Ø_x0002_@Ä!N_x000F_°Sú?¬%¶Yæ?3°3Cä3õ?N²_x001F_/¯_x0003_ÿ?àPP#äÞ÷?_x0014_Æ_x0010_nÇó?*_x0007_f_x0017_:ïú?ùï_x0004_·_x000D_Iâ?ÀòË_x0012_fÊù?Õ_x0015_A|òó?~_x0001_U½p}ó?L°¥Z0Èÿ?÷Cbw_x000C_ë?Bã_x001A_Ñ1õø?RìU^áÔø?í(µ_x001B__x0006_@Âÿ¨_x000F_í_x0001_@ßã_x0017_Ugö?=_x0008_H_x0019_¼úú?ÖISý@¼ÿ?4GM__x0005_õ?J`Ì»I_x0001_@_x0013_yP6_x0002_@_x0004__x0007_áGÒíTº_x0007_@_x0012_ÿá¤cúô?_x001E_kòwd_x0003_@óÊî_x0006__x0003_ý?%&gt;âÄ¼ü?97]0_x0005_­_x0001_@¼ì®%Ýø?ö=Í_x0019_ô?¿ê2ÖøOö?.pOÍô?0à9`_x0019_:ê?®G±ëçæ?_x0006_¨C_x0008_Ú·ö?/?ªXlqì?Se×¶êø?ttIMûð?³a_x0006_z]ç?§¡i*û?Øq.jý?_x000B_°1{rô_x0001_@nõÿ*Tæû?hwzO&lt;5÷?r_x0008_Î"Ä_x0001_@(bæ¹yú÷?S»_x0017__x0016_ì/_x0004_@Í_x0015_¨çäú?ì}ïÙþkõ?µ£P_x0013_,êÿ?h¥È_x0006_L_x001F__x0004_@cGüÅþ?IýñY_x0002_qø?Z¿AÎ_x0005__x0007_Ü¿ý?_x0001_YßÌ_x0019__x000C__x0004_@à_x000D_hÂ@õ?¹$[qþ?|_x000E_dªRX×?ùÙ¾1d³ñ?ØmYã^ý?K_x001C_]âçE÷?ß(¯5X¦ù?må¾4_x001E_yø?¥ßÜT§õ?ÂíE_x0017_Æñ?8ý¼_x0003_·_x0002_@K_x000F_Ç²õü?.}Öb7ø?%P³_x001D_GÛð?_x000B_Å º¶=ú?x§^'þ_x000B_þ?E OB_x0011_µø?'o_x0018_åYù?W_.Sú?_x000B__x0013_dJók÷?µoë_|ÿ?Ð:úù?_x001F_t.#ö?¦2AÚü?ûº_x0012__x0006__x000E_ø?ür_x001F_°Sï?¸æïòíÿ?_ï=Ö?ÙF_x001F_«x¿_x0001_@:eb@çeõ?_x0005__x0007_£.íîmð?WU#aÒï? __x0011_ÊFú?Þ0*­ÖR÷?u_x0006_gÖ_x0017_þ?e×¿¢)¬õ?«óK_x0006_õ?Á«ù_x0019_Áû?Àä_x0005_Cÿ?F7NÅ6_x0003_@«EÝtõ?Ú§7_x001F_@ùø?ª­_x001A_õ?Uò_x0004_Vn_x0002_@d@_x0019_È.ÿ?ä)ñª£Ð?_x000E_ü_x0001_ì?b!^ùÌªê?âGø;_x0011_ô?Ü1ÍGð?¹tä«:_x0005_@dÔ½q=÷?I_x0005__x000C_`Y#ø?_x0016_`u_1ð?_x001B__x0017_È/%î?àöé_x0005_Àù?û_x0013_¦&gt;ó?_x001F_HÞVõ?Zx_x0006_¢Vtö?bµ tÄÞ_x0001_@_x0017_òë_x000D_Zeý?_x0002_"Ed_x0006__x0007_ü?DqökUS_x0003_@hÚ	Ñ_x0006_@Þ8_x0004_k.þ?K_x001C_É.ð?~(_x0008__x0006_@ux¤_x0007_¼ï_x0006_@&gt;5ÀÅò÷?!Ùe¸Ùù?n_x0006_Rfë.ó?õ)~Nõ?RÌyê?N^ôÚ2û?b?ºØë?îí?Î¸ý?àw_x0014_¯ï?ª_x001E_¡ûò?ØºTW½ö?ýÝ	_x0005_½ûÿ?Êt"ã¤ý?Ï©ÃxÀö?_x0011_¼û\¦÷?£«0Ø§ð?_x0018_ìê_x0003_ÿÕ?$A_x0002_-è?©_x0010_¥ÁG ð?ZÀ_x0008_Èhä?_x000B_-:÷øë_x0002_@(µå_x000B_&amp;ñ?:áµ¨_x0017__x0001_@®s©&lt;"õ?_x0001_·Öj9þü?_x0001__x0004_O¿öÏèñ?á#&gt;_x001F_|x_x0001_@7ÕeÿZú?_x001A__x0001_ÍjFjü?$_x0010_³_x000D_£ì?ÜußELò?ÄÍ5Õ_x0016_ff@_x0004_þÂGY_x0007__@_x001B_¸OÂ:ëT@p&gt;%DD`@á^5Ðì[c@w9rÀÃe@|G_x0002_û_x0001_	j@·þYíe@:`K½&lt;¬c@WHP¬_x000C_åZ@"úe®VYn@æ_x0011_}Uéãe@Là8?j@æ0í¹ôN@ÝÛó·wùi@2Þ®$i@"ö3_x0003__x0003_§b@.\¶²;°h@@2_x0017_mzoG@	ú39b@Õ9ÕnÕc@Äü_x0007_0Ù}p@9ªíÒ×`@dúQ¨Îßf@ÌþD¥]@m_x0007_í4_x0002__x0003_d­`@À&amp;¿5bm[@wÀ¸_x0002_M¹R@ þ_x001E_Éö_x001D_h@à :ûd@ã$Vû_x0014_½k@\_x0013_éýªR@@ÈZ©ig@_x0012_ù³j_x0006__x0011_l@cÎ_x0012_Wkq\@r.:Úl@¡©û£c@èu]Ä&lt;_x0004_e@_x0017_}sÍb@×z_x0011__x0016_;c@Ðezk@TíokÊïm@ns y3W@´_x0004__x0013_ µÖb@ïË?®¼l@ª_x0016_¦ ÂD@Ø_x0008_5&gt;	`@_x0004_/ö3¢9h@¼õ_x0014__x0019__x0015_yl@_x0013__x0002_W_x001C_Ïßi@	¥f¥ôj@ÑßLzc@Â3Áº_x0001_m^@Üþ#ÿ«Qd@VU3_j:d@Ä S­b_x0003_h@Á%¸Bj@_x0001__x0002_1øFIf?Z@ÊäH_x0017_cd@Þü^Ã}a@Q*_x001F_;k@ÐÎ1o@hÅ/©Lßn@_x000F_^Ç¿}h@ºÎàÑÊd@.Aö_x001F_þñc@æÌ'jpti@P_x001F_G_x001F__x001D_þe@Or_x000D_ùO¿_@5Ú5byúa@íú`?DWa@4²_x0011_ê_@_x0007_#îûÎ¦a@_x0007__x0019_7~¢e@"BUZa@®*M¨%õg@_x0008_{L_x0003_æj@öcÎ{_x0003_Ù]@?ñ.@G\i@u_x0001_1ü_x000E_h@¡_x0018_À£f@cÝIÑbg@_x000B_E [N6b@[æ&lt;]âR@m_x001D_uJµçS@ü_x000C__x0015_r"Z@_x0019__x0001_ÌBði@­¥À¯#Øc@³_x0011__x0001__x0002__x0004_;b@ØGñ%_x0019__x000F_\@½q_x0015_±Õa_@ ÖAR_x001D_k@*ÖÉþ;:V@Î_x000F_U¾b@'_x0005_pZW[@º¸_x000C_*ÏEi@_x0003_@£Ûd@f/¯¦U@ÔÙsEdb@ò!p_x0007_Fd@¢4Gtl:e@_x0005_uãþf@ûÈ_x0005_¤_x000D_c@&gt;¦TÛÍH@¤K¶«i@7_x0011_ü_x0007__x0016_c@,00jõl@e_x000D_Om_x0012_i@¼*_x0006_&amp;.e@WÙÿSÎEd@¤þ_x0011_Ô_x0013_M@za_x0018__x0005_áf@zó_x001E_LX]@M_x001E_D_x0013__x0013_`@_x0005_SÕZça@* ±G³p@â*%Öá)X@ÓR;_x001B_ûfc@/NÆ_x000E_	ïd@_x0003_Ï^]¢(c@_x0001__x0004_2_x0008_ç¼W@._x000E__x001C_¿êJ@keêì¯f@Rxð\`@¼Ú;×Q¸e@ß«ÿvZ@n_x0003_qDÌc@á&gt;_x000B_H×Z@eFë¯]@L_x0002_Çñ_x001B__x0013_b@_x0006_&amp;ij(âb@¾»@¢úg@BP¸¨ÕK@­Ü]_x0010_i@_x000E_ÊÜexöf@_x001F_3Òñdc@¿ï	^_x0019_h@l.Å2f@hÛ+	Ål@§Ãºrº]@_x000D__x000B_äd, a@»_x000F__x0004_ãd@]ääáÊe@8Ü¦»Â6`@_x0017_­ª_x001D_½Ja@´_x001C_Ô#Äd@o·_x0007_ÈÌS@_x001A__x001E_6rrR@ß1ú_cV@ð%_x001E__x0004_Ê_x000F_g@]ô$Ñçf@	6®Õ_x0001__x0002_]²a@þ³ªWb@Á34a@rBªZN@f5Õ(W@_x0004_¶ô_x001A_|-A@ zÁçj)@q*ªTÏj@v)¹¡YVk@6J¿½óX@ë¹_x0005_Ï|d@v¬rL¼£p@¿X¨_x0008__x001E_mf@È_x0007_£_x0017_C.a@¬Ã_x0017_PÅ½Y@6¢5_x0017_Lh@-¹Ú®F]@ÚetR_@qô]¶]@P[bÐ«u_@áÅ_x000E__x000F_·s`@µ_x0017_´_x0016_Oñb@ÀÆ@	SL@¥_x000E_ð$sj@ßÑâ{_x0018_c@9vè-Ø|i@8ÞhçdÚe@|JC_x0018_«¡d@_x0014_Ö\{N6@@Æ¬]Z_@âû h_x0012_bk@$§cV÷\@_x0001__x0006_¿k¯x_x0003_l@¹0ÕµØh@ÒO)_-\@"Ò8ÙÑ[@_x001E_fÅ_x0019_hÎY@¯w¬ba@¸'_x001F_ÙLZ@ ¥°}¯\@}{^0`@Òy+7\@P_x0013_ø´b@d8=f!Y@_x001F_1_x0015_eláq@þ_x0019__x0017_&gt;d@é_x001D_e£j@¨S(Û×L@WP\]qþR@E_x0010_î_x0002_Ä`@.0¾3_x0012_yY@_x0016__x0005_ÂÓãPg@ùÉD&amp;_x0010_Þd@&gt;Nr;cb@½²ÆÑsd`@a³3ñf@£ñ×_x0014_b@_x0018_M§,}?@FD_x001A_ñ¦_@jù*'Û[@«5å_x001F_c@I*_x001A_WÙ.b@¢3_x0004_E5_x001B__@ÿîn_x000E__x0002__x0003_èe@è£Á%õBW@YtègÜb@ìÂ¤¯{D@j!Ef½e@pÂNøZQk@è_x0015_¿J_x0005_6@BL*:_i@åÝþZÜ$e@j_x0002_*Oàc@q°n³³c@ôz§"øa`@A8Ô¨ÁZ@gë	:t^@ÅNMea@ùqW?zU`@&amp;O@e"Ug@îÎlº_x0005_f@_x0013_¬_x000B__x000C_è[@AñÜSþ´Z@ý»ÓòôÊ`@²h)*öU@_x000C_}Z:Q_x0001_h@ÚËU\@T¶Åkk@o. oÅc@G#°«mÂh@-pÓ@kÄk@u)ÿ_x0002_Ùgb@týuÀßWo@ëlLzp_x0018_[@K³&amp;Ø_x0005_&lt;a@_x0008__x000B_¥àw_x0004_5f@_x0008_ïå9_x000E_e@WèÁÇ;[@ü_x0015_ÈÝf@Ôº_x0004_.xId@næ£zf@t@!Í³a@Fr°÷V¦Q@_x0003_ë©3+¡Z@ò[|_x000B_ªò^@}f@píj@Éc¯&lt;;c@Üu6®_x000D_W@_x001B__x000C_{p6S@úÂÔì]@ð¥¾ù	V@öt}'¶©U@_x0010_ºÑÜ	ìY@_x001B_iw£IP@_x0008_Ð_x0005__x0007__x0015_Z@vÌ4¼Åf@C-&amp;tc@(ýê9ó%g@hÔb{}äY@ÂâlçI@;¡ÿ_x000C_©c@iÚ¤#g@Ç8?¯Ù\p@_x0008__x0008_%Ãä&amp;@þÔ[zxqi@]_x0006_ó_x0002_c@_x0001_ih_x0001__x0003__g@F¢²_x000D_ug@bÞòHQd@%½¯­úe@ôº5g@_x0001_&lt;_x001A_QÈ¤\@ùlºñ[@"»`Èk0j@6vXv^@ërôì^@_x000F_So(LÌ_@¢|C#ßa@WR«FMza@§Ë·­äe@®«\í|&lt;b@¦GýâÉd@b_x001D__x0002_n&gt;Ña@Ó÷®²âþa@_x0002_ÝBW@¦_x0006_õã°_x0010_k@AL·9Mg@_x0016_dM¬3¸b@ä°M_x000E_ØR@âÊ©«nl@#ûê_x0004_»Z@«[_x0005_?_x001C_"]@U`_x000F_¡Qc@"°~f_x0006_»d@$qÛf=@«{Íc	¾S@µûø´ÒÍl@U¹îOh@_x0001__x0002_,¥NÃÍa@¥Ú_x001B_ê7)h@ê%o{o¬W@HÏ©¹rj@ÐR|[þhi@_x0004_Pdªe@røúdéªb@UÜl¸&lt;=n@lD_x0002_V¹U@":¾Ê.´G@{_x0017_3ÐÃc@l±_x000C_[D¬b@_x0012_T&gt;9óe@Ä_x0007_éoEa@o6R_x000C_Z@î_x001F_Èªr³Y@rMâiº\@_x0018_T_x000D__x0006_o@ë,Ì	ío@ÔvR5ãµ`@çÔo_x0008_§d@0__x0015_1Úg@	ö_x0012__x0018_|`@ºóú¬èe@ù_x0016_X2h@\Ç/ÔPqc@ßöÓ¡Ji@·S_x0013_Z@ÂH_x0002_a9²j@±Z÷ífk@ýâÑÐ	zd@Ç_x0013_ä_x0001__x0004_ÛE\@ÙÔ_x000D_¬oa@_x0005_ý¸lB9`@«É°BoOY@t[@X@â¯Üôìe@Wßoµ3]@ôÙæG&lt;\@k¡M,µ`@ã`ýª¼ÐQ@÷·_x001B_Yæ(f@¶f_x0014_;!e@_x0016_ü1µÏX@_x000E_Å%ói@û@_x0006_¿*b@Ý{h_x0003_b@¬#£f&gt;%`@Å¾%[_x0006_ôh@8nl_x0016_Msa@Ø:ªvLX@gÒyiÁÕ^@Nx_x0006__x0002_îe@Ì!_x000E_tÔ«V@n_x0005_ÕæJp@ãª_x000D_{V_x0013_e@@DÏ¾õd@_x000C_&amp;3Bb@â!AÊL1d@_x0007_âó4_x0016_g@-Z&gt;Éîék@&lt;_x0016_¨_x0018_Ðp@ãø¬_x0004_õZ@_x0002__x0003_0_x000D_`[²_U@z;_x0014_)±P@×Éðb,R@Fò_x000B_ye@_x0012_Ü_x0005_Z@iïOüX)`@ã\s_x000B_cwb@ø£¬éiK@²£ûxRZ`@ùèZRx­a@5i_x0002_@¸Fb@&gt;á¨&amp;`@.¢_x0001_:@c@PXïÞÓl`@Öj¢ÿJ+k@Ñg[i_x0013_m@ºßÿìÇ`@vTñ_x0014_CäQ@ÒØÞú`L@aôÎ,Z@\_x0014_38#µo@?ôk¦Göa@m=±5àg@,ª]È2c@¶_x0011_&lt;·}ª`@Óf_x0007_2f@1Ü&amp;ªhòa@½ÙÓGÑ&amp;c@5JE«CÌ]@_x0004__x0003_lVua@_x0017__x0013_Fò^@±¹¸_x0002__x0003_&amp;n@°ûÌãe@Ö_x000F_ÑÀQ¤g@eÖrq°3T@1_x0005__x0006_¿Oñg@Å¬&amp;rg@jïFÏ?·[@Åë_x001D_¼_x0016_%a@«i¸ã_x0014_Qe@Htzò®X@CD_x001F_ÕIV@Û|_x0018_Â¡_x0018_a@zc£nÁc@Êô¦_x0011_ÛÌh@ö&lt;·)k@ÁË¡­f_x0015_S@ÛÌñ6&gt;`@É_x0003_¼÷$b@N_x0004_¢VSj@EjPv_x0002_j@j«·y½û]@¬d_x001A_97c@"_x0012_Cte@	º}_x000D__x000D_U@"7¹Ø{\@,1Î'_x0001_d@?X6´_x0005_T@òl_x0004__x0019_m@¶:/îZ^@ú#Þ/þ_x0017_`@_x0017_¢&gt;ÈÅïn@P}DEVme@_x0005__x000B_È!ÍÝg@_x0005__x001D__x0006_úhj@×ôù«7g@_x0004__x001F__x0007_[@¸ûRµ·_@º_x001D__x001E_Òú_x000B_f@_x001E_È,?¦£a@ÑnmHc@JÍjhW@Ô	Õ_x000B__x0012__x0003_`@_x000F_÷|_x000F_jd@¦÷×ºd@ÿÊ}ß*i@Æ*_x0002_H/&lt;F@Å¡°cCe@écAÛTm@H_x0017__x0008_¸Ðx\@¯_x0012_Ú¿Za@BiA¾eT@/_x0010__x0001_i·ØV@,_x000F__x0005_i@®mz}b@*s*©ì.m@_x0013_&amp;Mvd@5_x0015_vµ"`@,_Àþ¸a@&amp;ªMÞZl@L\C2¤R@	I5f_x000D_f@ö^_x001B_¸_x0004_ f@ü WraWd@¡ø_x0010__x0001__x0002__x001F_lQ@0$Wlæh@Ê_x001D_ª=c@yêù_x0011_tÄ^@mÌ_x0011_foNa@wâî	Qj@@~:ªúh@_x001E_7ÁÓÄrb@awKF_x0005_c@! ´j:i@±é¬jëæi@_x0003_´ÃV@ÔNí_x0006_½Dd@_x000D_ÎJ_x001C_èW@p¶_x0008_A²âh@Á1A«Îm@q_x0005_Yj&amp;d@kðá.qd@*_x0013_æ ÏÐf@_x001B_~d_x0014_ñ_x0002_c@»_x0011_Å0ö_x0005_g@9À´%Úð_@õ_x000F_ÿ¸¹_x000C_d@§bø_x0001_¼hd@~_x0016_æ¨Ú_x0013_j@æÕÆ¼çþV@Fº²´¨a@\ÀÉX+d@á»ú¡äüZ@&lt;_x001B_¸@¯jC@õ*íËXH@¸Oà¿Ëòc@_x0001__x0007_Kr+ÿ_x001C_l@3A@aå	b@ÞmZH']@!\_x0003__x0011_`@Hº¢'ª_x0015_d@_x0003_ {|c;S@s]õ±_x0006_g@æÁÙø_x001D_g@ä_x000D_mT^Jb@ãG-}e@U)-ô_x001A_f@b%§ñ_x0010_f@ýÃ_x0014_ØX@÷¥6_x0007_q´g@ö«Þü9k\@ûkkÕ«_x0005_a@å0ë7]h@²®Ö_x0017_*g@6Y&lt;ÐpU@_x0010__x001E_s»`@_x0004_0_x0002_$Dh@,Ûµ Ôe@ÜYµ_x0003_RT@_x0018_¶þ6Ã%b@è"L_x000F_ø3J@`X²_x0005_g_f@f5­_x001B_i@$H?Ì¢i@æî£!Îc@ÿ_x000B_­»6c@?+8«Ã^@£&gt;_x0006__x0008_2_x000B_k@O³'¡Ye@3¤_x0016_2S@_x0011__x001B_Õ)mZ@ì"n(¼Ke@&amp;_x0002_Ê_x001F_&lt;X@æ_x0014_Ø¹ÿ1i@\~¾Ïd@_x000D_æäFîc@13_x0011__x001F_a@_x001C__x000F_½Î¢iq@R	~Á_x0001_q@¾Ï|JcY@ÖF½_x0005_Xn`@Y=º_x0011_'æd@Ã(6:Å5q@gà·X@_x0001_ê_x0003__x0005_ÛÔa@&gt;7²o9«g@çÝ;7;_x0005_a@°Uûf-)k@_x0007__x0012_I_x0018_ah@_x0004__x000B_¢_x0007_;«e@üåè_x0005_ø¶n@_x0004_¦ÿXýY@h:_x0014_ü_x0010_d@ð´÷Æ¥ê ÀGð_x0010_;gX@C[	V&lt;Cj@Å¨¼#Öe@_x001E_Á/_x0017_§¤h@k_x0002_þ_x0015__x000F_`@_x0001__x0005_8¦'_x001A_Ók@_x0005_FdLr£b@5¾WL@j@hZÛ^@_x0018_IXî¡aZ@_x0008_ç¥&amp;"h@s6_x001D_ú6.d@Ù+N*«^d@_x000E_KkéÄê_@í_x0001_*K_x001C_j@õ[Û_x001A_&gt;g@¡-ª_x0010_¯c@Æ_x0006_õ_x000C_à`@¸!Ay×\@ò5_x0014__x0003_R^@¯&amp;Ì_4d@#n_x000C__x0011_B@³Hu²ÁÌb@_x001F__x000F_&lt;7Y@X­j%O¸h@À_x0018_KU£Fk@M¬_x0014_ÌÜyg@Úöô!h@@ª´ë_x0016_c@Ã¬LOU@tN_x0002_¬û`@G2ý_x001A_!m@îÍ_y_x000D_a@ô3Úèd@Þ1¯£ie@¬[ÝÑÁV@³q_x0004_._x0001__x0002_Ô5_@8	Ó6'l@bv&amp;]yPd@Ú_x000F_ºçÇb@Ðµ«¦=l@øÒk8-ýX@_x001A_Á¯ÎJS@²PB_x0010_j_x001D_\@~Ê¤K¶T@)`iÜSËb@öD_¸cü`@eVr_x000E_F_@{ÆîÒ_x001F_Ób@_x0011_­Ù_x0001_Íe@L_x0005_{oe@5;å«Ô_@rËTÍfl@è_x0008_`So@_x0006__x001D_svpÃf@_x0014__x001A_í,Bg@{ ¢ö¯2@Ï|Ï|:b@RY]½_x0013__x0012_Q@8T´TI_x0008_h@_x000E_&lt;/l@°à½Òv_x0018_^@v_x0008_'HþCg@¶wÚÉh@_x001D_³Í¸ªn@þË¨îùW@jÐ_x000D_^S@âî_x0001_°Æn@_x0004__x0005_t¥_x0014_æph@!Ú	ÞÜa@ÊÂSÍ@_@¢UÏÝaj@_x0005__x000B_dñêN@	7oCC^@Óc_x0007_Y±i@féÅïý_@_x001E_·Ã_å^@NÔþIk@Ñ½ïí÷mb@på_x000B_'»i@ï_x001E_ °3`@ ~i3¼_x000D_b@jtþq@g§_x0005_§ý^@¾ïÃw_x001A_Y@wºúû ì`@eýb_x0011_ k@_x0004_¯²ýi@_x0001_eU!R§m@E_x000C_6_x000B__x0007_?Q@_x001E_`Ü_x000B_[*^@û_x0002_ôÙªÕ]@4ÓXBm@@É¦Ê_x001F_&lt;]@s"_x0006_Fªd@Ù_x0008_Vf@eQ&lt;_x001B_&gt;h@Z¡,÷Þ`@38¢_x001A_$_x0003_U@A_x0019_­?_x0005__x0006__x0011_·m@ø%¶£9Íi@¹ª_x0013__x0005_È]j@;.è´h@Û%¶Y/[@q&amp;Ê ª_x0010_Y@_x0012_@ÐµPTT@Çât,¡ÚZ@	eç#c@V_x0014__x001A_á¿\@_x0008__x0018_~BáëO@³(ãi@ÂÕ;M2ìE@ÂÒ[a_x0002_\@_x0004_»°¬1I@bþQï^P@*ëÒ&amp;d@ä_x000D__x000D_Ú¿{]@U¯TÑ¦`@¼Ô_x0018_Wt°b@Î;°,H_x001C_`@{Qæ_x0011_LPW@&lt;_x000E_÷¨Ùgg@_x0016_¤HKÑ7Z@_x000C_w'(£_x0001_k@G£¶¦¨_x0003_^@,T&gt;çZ@üÊ_x0008_Ý×	[@_x0002_ê5_x0007_¾2b@®&gt;__x0015_¸_x0012_e@_x0019_´Em@Öé_x0018_5)cd@_x0001__x0002_\³_x0008_ÎDSa@7sÝï7"b@+&lt;bò_x0001_g@[u#ÖÔ`@S._x000B_ËHe@^Ô¬_x001D_&gt;Y@S:*Å}Ê\@,±_x0012_kl_x000C_W@SµyoËRi@ótBytl@º@Ç[_x0005_Ba@_x0008_NE¯=#d@º§ìöóM@j-D©^)N@_x0010__x0011__x000E_þb@$ðÎê¨f@Îî_x0016_~_x001A_]@©n¾A²j[@p_x000B_\°_x000B_Êi@ünZ_x0008_AAe@4©+áTFM@AxÃþ»i@"pnÂ-Æ_@dëÎf@¸_x0004_@Uih@_x0001_Y_x0015_B3g@Î_x0011_4j_x0006_b@_x001D_q]+Øb@_x000C_9n,e@iE¬ÉÁg@Õ_x001E_ì_x0016_wh@D4K¼_x0001__x0003_U%Y@n_x001D_G5%'f@£õú´ic@T¤.òðÿS@Gµ1w¿Úc@±__x0006__x0003_If@ÐwÚ;ñd@-q-³'ÃT@®ùd'qó`@Î_x0002_üu~`@¨%ú³`E[@úÚºù¦¬l@¢R®!FÞe@¨êb./f@+iì^@\o"_x0008_Hxc@!_x0005_'À+]@"_x0008_Ú¡Vl@6»Æe¢Âa@¨âªdÏÜg@ÅïP`{Ch@F_x0013_¦Q5i@_x000D_×H2T@ÙHY_x0016_c@8Á£_x001C_*ÒX@&amp;åÄÖ±ïP@ò&lt;\C-_@heÊó_x0017_d@\îhÐÜk@W_x0002_kQØôb@ 9C³ÑJo@ïn_x001C_´÷h@_x0001__x0005_¿+°óc@þ(Ði_x0002_	\@`87£ø_x0001_b@©£¸æ[_x001D_e@`Î.DÉj@bd8¨ïKl@ryT:ÔàT@²_x0019_³³ÿºg@Õiy4/h@?msÀG_x001B_b@Y&gt;	Jíb@22°Cç`@Å:-°¡g@__x0004_'Ý§TR@æ¬çé¨^@Æý)ùÎb]@ti§ÏF`@Uëüá×i@ A&amp;c@)ã_x0013_2½j@e_x0005_2±e@û/æ!w²f@¯x^¡ÖÙd@bHij¾be@y_x000F_á_x001B_²_x0018_f@c"ýb@fþ@±E]V@TÊf ËX@ïFª;f@x±¾[@©_x0003_Í±_x0008__x0005_p@Ó_x0007_s9_x0002__x0003_R_x0018_p@ ;Ñ)Új@_x0001__x0012_÷xQf@øigdg@±.ÇÌ¤i@j ±_x0005_#j@_x0006_&amp;ÑÔ1p@_x001F__x000D_Ð·¾d@J\IB(a@6d_x000B_8ä_@¸qÏr£ÔY@D_x0008_5_x0019_ja@¬ þ`e@¿)è]1ÿd@{´°Ò¯_@Â_x001C__x000F_ÁO@_x001C_ÝCÙïh@J_x0001_ÛË¸[@¼CQh)X@f,W~%Ô\@ª;ÖÌÞSh@_x0013_­·øÁ¿a@ÞÝ_x0014_5o^@ð¦"ÞÀ`@%A_x0005_¸ÃP@²Òó¡o_x0015_a@É6øðÛWc@só¼=øQ@Á_x001E_íÀwh@_x000E_,_x0005_Åym@v£Ñfb@_x0010_¯_x0013_1äb@_x0005__x0006_Õ_x0004_&amp;_x0007_(Ef@V0_x0014_&amp;_x000B_Q@i¸Jó6·V@5èZ_x0010_&gt;_m@Oj´fä^c@_x0018_RôT{^@Àö;Ê¥P[@K_x0019__x000C_2_x0018_d@YÌ·_x0002__x000F_Ò`@Ìl_x0014_z³*V@¢bÓÖuf@4ÍÒïo_@nªÎ_x000C_gxb@ÞÂí¹f@_x0004_¤Ë.©Øa@ª,±l6*j@ºùU4_x0019_e@îÆÞ_x0001_Äàg@k_x0008__x000E_,®a@_x0010__x0012_X_x0001_ðcf@_x0012_)_x0006_Ù-ÏU@hD_x001A_Ûÿ²g@|hN&lt;³_x0007_`@$J_x000B_«[@cÓðU7©j@vÕZ_x0018_®Zg@_x000C__x0008_°_x0003_d^@=Yùú_x0010_]@_x001F_\û±âc@n¡_x0005_9^@Ò¿ñÍ_x000B_a@¼AÅk_x0002__x0003_Ub@n_x001D_½E4e@jwË)ëb@ÀæJ_x0004__x0015_R_x0001_@ÀÈßØé0U@úóTY_b@JeÔg@#Âò¿_x001F_Y@&amp;ÿ°ÝU@Fv_x000D_î.T@_x001E_I×ÖñÍ[@`ºüË#úc@zÎ²ïV_x0012_c@a´º^®e@K_x0018_×r`@¸çÃf@Ä3ô_x0015_Ã|X@ÒÔX_x0012_Éêg@V!_x0008_ f@ù-|WWþ`@`Ôô!£vV@&amp;a%QuP@_x0016_S_x0005_Ì¿Kb@5¹Gºo@ÄBxU1a@ø_x001D_2j|[@_x0008_rïb@#iîK½Pb@TÖ_x0015_pc@_x0016_û_x0010_a@êT(W_x001D__x0010_X@JOÏlØÉa@_x0001__x0002_v÷_x001D_¤Y@_x0008_ã{©¾f@`K{_x0015_y]d@SÂ]©§¿e@=G^c-ßX@­è_x0004_Ö~¬r@d§s}_x0014_Y@Ô¿©ÂÔd@:ß8©Ps@_µ:T	of@øï«_x0002_C_@¡¡ù+8a@D_x0018_m&gt;`@b9E_x001B_d_x0010__@$_x0010_;¤¹S@ôíàr_x0014__x001B_P@(×_x001F_¥v[e@Òë3ÿ_x000E__x0019_R@&amp;ñ£-ºa@&amp;K_x000B_c8e@&lt;ï_x0003_­9f@ ¨#*_@È:/ $9@$Aòö_x0016__x0001_X@_x001E__x0015__x0006_e@*ìùV]@JDR_x0013_'_@g_x000C_Mq]`@kñÓ{Ýð]@*ôh}¥äm@³-4a3_x0003_R@øh®_x0001__x0002_ëç]@/z!ý_x0004_]@&lt;ÔIêÇ¶c@,¯¿ARf@¸Ô_x0010_`Èc@_x0013_ùRðäa@etn×Jã\@Ef&amp;ì[ë`@ N´`@ö­í¥×Êg@_x001D_lÉ/qWe@ì,_x0007_aúi@3Fr¿ý_x001D_a@-Êò_x001C_)a@ý¾NQ@;U@_x000C_úÐ_x000D__x0018_b@_x0003_¢s=[@_x0007__x0013_W`QU@ê]\¥_x001B_^@x_x0016__x000F_PW `@Eb+Ö_x0005_d@|%ø¼vV@.RÉBFwT@ØÝ(U_x0004_BO@_x001A_NîÃb@_x000E__x0007_vÁ¼c@­~ß	_x000C_^@º«Ñ¼ÁXh@µýr]@@_x001A_¼_À±ãMð}À®Àe_x0013_+dÀ_x0003__x0004_ÞDöF°eÀÈõ)_x0016_ùm]ÀðO|JfÌ^ÀÂþ½ÜÆ¬jÀ\çÉ5psÀðÝÑó_x0017__x0010_\ÀænqAÕgfÀ`§øÃRHÀ^Ë¬;lecÀi'üð_x0004__x0011_@_x0006_Ú_x000F_üófÀ2ã1÷ÙmlÀ_x0002_¢lfAÝkÀ;a±ÿèY@À¤\û5.À@_x001E_&gt;m¦ØNÀ»1$ÛÚ+uÀøßXtb@â;­âeÀRë_x0015_3G¾kÀ8	&lt;©½ÉS@¼.-_x0004_B\ÀùÆµþ_x0014_tÀZ_x0011_K_x0011_ÊgcÀà00@_x0010_CÀð_x0006_ê_x0012_¤3@ÀÈ#Þ_x000B_±.SÀVXá/ÎzkÀà_x0008_	_x0001_GJ6Àc~&gt;_x000F__ópÀ_x0010_ûý(ÙæCÀg¶_x0005__x0007_|1U@ø/=É_x0001_+W@_x0016_ã¡_x001F_-_x001B_mÀ¨8%4Î_x0018_UÀØÍÕG_x0019_V@_x0005_ý¶ªø&lt;À +mÒ_x0006_B@_x0005_è.·_x0002_@_x0007_Åö5_x0008__x0014_hÀ|M_x001D_6dÀð_x0016_H²â_x0003_HÀVî_x0015__x0002_ÝpÀ_x0010__x001E__x000C_&amp;{nZÀ_x0005_¤äo~TVÀ0áUBrDJ@¹¼öþ©_x001B_yÀèr_x0006_C4aÀ`ÿlòÉM@°`k_x001D_±J@_x0010_^_x0004_ _x001D_wÀ`*Æ+_x0007__x0014_]Àx7rÅlcÀ(@á·â%P@_x000B_A_x0004_¯%qÀÀ_x000C_OS±JÀ«hG(_x0003_(@s¯Ç³nÀÃ-ZùZCqÀ`Ì_x000D_Ý?@_x0005_ý&gt;LwYÀÆaÊ?yhÀ_x0018_ÍðQ«ß]À_x0008__x000B__x0008_u	=ÙÙ_x0010_ÀàÜÙ°öB&gt;@ `['3@&amp;_x0008_¼_x001A_&lt;/@àWõd_x0004_BÀê_x0007__x0014_ÃúÊkÀ¼&gt;¯ê|mÀ_x0006_U½LUgÀ_x0008_ð«ÎÑ?_x0019_J_x0005__x0012_r_x000E_sÀÐkÿP^vDÀÂ_x0016_P_x000B_fÀpÙigÀ¸_x0015_Û_x001B_UðV@OhudÀ ÂP_x0003_DTÀzÈ¦T»`À¾Æ_x0010_oÀ°ÞlZ.NÀ2_x001F_ëý_x0016__x0019_jÀ ÷Ü´ÆëJÀ(:ø·¶òVÀ`é 1Àl_x0002_£åzmÀà_x0001_ÜÑùð7Àà(X_x000D_Û:C@n¸ÒÓ_x0016_ñfÀêÞ©_x001A__x0019_hÀP_x0006__x001A_`Ì^À&lt;ôÕµ?[[À2òqCÀÀdÅ¡_x0003__x0008_á/@_x0004__x0005_:8sÀjÔH¥YÀðk_x000C_?ö9W@ òLá÷_x0006_L@0*¼Àä\À_x0010_m9_x000B_NÀP/ú¿_x0008_@@xý_x0007_èùQeÀFuãÄ!RcÀ@Â{_x0012_jÀ¬ì_ò®|vÀ°é&lt;ÏU@lKË_x0002_ñeÀ*]&lt;GLªmÀÄPÜ_x0005_CfÀ8'Ú5TvXÀ_x0003_~_x0003_ê_x000E_+ÀðG|Í_x001A_YÀ ø'U_x000B_Ð8@8$¨v_x0006_XÀ¡µjÌqtÀÉÏ úJ`ÀÖB'.fÀ_x0010_r$_x000D_¬þAÀ'`_x0014_F_x0016_À9k§|_x0011_!pÀh_x0017__x001A_3ÃøRÀ_x0001_ bÓò}Àl_x0006_F6_x0016_fÀØmÆüTÀ_x0003_²_x0017_¼óERÀ_x0001__x0005_Úz&lt;àÈNcÀ_x0001__x0018_éY½	EÀàÝ=Í6Àà4ÝzpI@Ðà^_x000F_ Y@À_x0008_$_x001F_DCÿ[À ÃiQ_x0003_«XÀÀê·RÙFÀ _x0004_¨è\@êJI`Î¿eÀCK_x000E_cÀ4F_x0012_@`h!VP_x000F_4À_x0002__x0011_^QcgÀ_x0018_I ¥	ZÀ0ïô_x000E_Ù#UÀ_x0008_A³_x0013_:ÐYÀ ö6§ý´OÀþNU³'UÀØj³i+SÀ4­_x0018_Æ_x0012_1f@_x0001_ *$ÕÞ6À_x0001_Z9BÀºõÆÁX#hÀøT1¾L£ZÀÐT·@FÀ Ìù_x0016__x0004_g:@,_x0012_ÆMÏ_x0015_^À_x0016_Qð ½fÀÕ»Þa_x001C_@_x0012_Ð"Ñ'0hÀhbE_x0001__x0003_]]ÀÂIæÇ_À8×_`(ÜSÀ_x0002_LU®·_x0006_jÀ¸óAvhfUÀ&lt;H³Ý_x000C_lÀN¬¾ÛîeÀè_x001D_è_x0008_m_x000D_P@¬9°¨£NeÀà_x0002_h´M:@B_x0014_],r)À_x0001__x001A__x0006__x0016_¥â(À¢7»½èmÀ _x0016_kQâ@ÀÐÆ{ç^P@@.,_x001C_W6ÀbìÔ{!aÀð-l_x001B_mAÀ_x0001_Yµ_x0002_øm%@ÎÖPÆÏQÀL8M¨ïµ[ÀPÙ_x000C_`.K@(3fÄ5^@¸ñ_x0013_Üg@ðº_x001E_FÀ°Ê9 ÓPÀK_x0019_^jÀ	ó¥²q¶qÀ@½·="ä4@_x0001__x0012_9¦3_x0002_ö¿0¡¶PþÂZÀôÄ%Åh@_x0003__x0004_òÒ¹&lt;þµaÀÀ7®_x001E_ï¬ À^ mm7_pÀª_x0016_¦bHhÀ_x001C_aNÖUÀÀì_x0013_­¥VÀìH_x0002_õ:aÀßh_x001A__x0001_mUÀ­_x0006_"_x001C_mT@×·Á3S?sÀ_x000C_fàü­_x001D_bÀ2T_x000B_qõbÀ*_x0003_Ô¨bmÀ^ít0y!mÀ_x0003_&lt;_x0018_&amp;ï_x0017_À²$ëx_x001E_@ð_x0002_ÆbA@_x0003_ð_x0010_w«?_x001F_@¶tþ_x0006_dÀ«_x0014_~_x001A__x0017__x0019_pÀpd_x0011__x0013_±éMÀ_x0001_ÕJÕà_x001B_sÀ$_x000B_%[`ÀèD[eLmWÀÀ_x0011_ýwMnVÀ iÀãðû1@ØOî_x001E_e½\@p®æUÓª@@`« NY3@¼mtý#@ Ö9¢HM@MTg_x0001__x0002_Ý_x0015_BÀNzµ·|eÀRêØW_x0017_hÀ_x0001_H_x0017_d¤&amp;ÀÐ³_x0015_--$EÀ¸ _x0008_&lt;+R@ZN.q`Àö_x0006_CíÙ|nÀI_x0019__x0019_fÀ C¹Ræô&gt;@x_x000D_ùHe@Ð_x000D_y!_x0012_¨NÀ_x0008_4¾åbÎR@ø_x0015_³e_x0004_ÞYÀàóÝ¼øa@ ûª3üMÀ¼`wñ¾_x0003_rÀèæ*ú!eÀ¸Ù¥Îi'UÀøH6¬ZÀÿ«6RÀðÈÛ_x0019_)vHÀ@}!§#à^Àèb2_x000D_HUÀ¤"?HyýdÀ@£Év_x000D_K@ _x0010_¸jkW@.Â_x000B_;µjÀT_x0017_Jõ[Àð_x001E_ëEXHÀ`Yri_x001C_E@u2_x001D_ç_x0013_À_x0001__x0003_ðú$NJÀ(îûÀµÝlÀÜ_x000B_{ÇCÀP¢_x001D_fø=JÀ_x0012__x0006_ý½bÀÜ´Ø®_x001C__x001F_@_x0010_C_x0012_÷YÂW@_x0001_L|_x000B_û¿ÒLp»MgÀ¸õwí¼RVÀX_x0002_(Ùd@¨G[_x0012_³_Z@tI*6_x001A_@pò_x0002_èÏ¬AÀ÷)ä3DtÀ_x0001_bÚ%_x000E_²ZÀ8ËæiÄVÀ6Dgò¼²`À_x0001_©Ø.¾_x001A_@¤ég[_x0013_1f@¬·þZ¶`À_x0001__x0011_¸¬_x0018_Àåd_x0002_}@hÀ0Uì3ÅXÀ Z¨EM=@eh²¼´@sÀ_x0008__x0012_ò%|ÒS@ð_x001F_µncIÀ_x0019_¿*àaÀàã_x0004_XoKA@_x0017__x0007_Ó=­^ÀÀ/µ_x0001__x0003_ûp!@@ø6YDÀªÙÍÚS¡cÀà×^)8Àð(S-rM@_x0001_1ìoQ_x0001_@_x0001_`!Fô? ÙÚ³5@F_x0004__x0011_àhÀx_x000F_qýcÀÀ¯Ò¨15&amp;@bðOÄî^bÀRø¢nRWhÀ÷ñWÊ[_pÀÀN%¿tªNÀFÍ_x0019_ÚØUkÀüY±_x001A_q`kÀà2Ê=À_x000E_¥qBeÀÔÌ¾rßbÀàY	Ñ¾¥9Àg_x0019_G_x001C_Æ0qÀ_x0002_mIÈ_x000E_OeÀ¨tL4jYXÀ"¡?s#ÆjÀRÁ"bhÀ@ÇCl_x001C_*@¼õMÃcSÀÐ|ïÙ$÷JÀBþrßÊxdÀÀ£Í×ÂX@pk{´ëvH@_x0002__x0007_pÜy$ÐËH@(_x000F_Fo¿XÀUÕ&lt;_x0016_DEqÀÀ_x001F_äT5_ÀÐ§°U_x001E_cJÀB6_x0006_+í`À_x0002_«F¥GØOÀ£½SÚ_x0006_VÀ`­*:D@4ÓI«_x0001_Gg@_x0002_Áõ_x0005_-é.À IÍÔ&lt;@_x0018_×öQKìXÀÜâÖôiÀ°Xt_x0012_'NhÀÊ_x0019_G`!@æ_x000F_@e_x0004_X@p"W¹E@@_x0008_ÑÑ|­Ñ`ÀXõô_x0012_WÀ_x001C__x0002_C®ÎXPÀ°ü_x001A__x001D_EH@`a_x0004_5Àð`OoÃ÷IÀL_x0006_74ä_x0007_bÀ@cV"äÓ6À_x0004_#©¸0B`À§0ñú_x0003_ÕyÀ ðæ/_x001A_S@.÷ÔÚô_x0003_hÀ&gt;¡È_x0016_fÀÀÁOÎ_x0001__x0003_Å_x0017_LÀTLV¬gÀ`VànK°CÀ_x0018_cw²oWÀ hÅZ!Û9@VtÎ)ÛaÀ6ô_x000D_îTdÀ\Ì^ÚmbÀ_x0010_©_x0019_Þ-	H@_x0001_?_x0005__x0004__x0003_@zè]_x0019_ÀøôxQÌ/bÀ¨üWâ_x000D_SÀ( À_x001A_iUÀ _x001E_s_x0013_R@È¯þgx\À &amp;IÀÏ¯LÀÀr².&amp;H@p_x001E__x0018__x0015_û·@À©¥_x000D_eU@hÿ¯¼7X@|RÒ_x0001_&lt;ul@¸æ9oxTgÀ5ªÎU~wÀæ_x0014_qWC@fÞá_x0018_U*gÀ0_x001F_¡õÎLÀ`±_x000D__x001F__x0013_D@pÝE*þ^ÀXúY&amp;§^À`÷_x0002_5]À¦¥P	î_x0004_nÀ_x0002__x0006_ì&gt;Ê¢Ø¯ZÀ*.*Ó-'aÀ`¼9;À_x0001_CéE_x0018_@Àk_x0003_GSQ&amp;À!(é:®_x001A_@_x0002_è¤µQZ.À(»_x0004_ìöZÀ8i´p úVÀØ|Â1'eÀ.Ë_x0017_yFhiÀp&gt;hBÀ¸_x001F_D¾7@_x0006_a¹_x0003_9gÀÈ_&gt;s)ËWÀ_x0004__x001F_­3ÁbÀJ_x0005_ê~8£fÀå}BÆÃbÀð_x001D_ñbU^À_x0004_)ÍÆ{S@ a&gt;Ñ_x0019_½YÀ·«½¶3bÀ_x0016_Ämjø_x0007_dÀÀ,/¸&gt;/$À¡Ì®´sÀ_x0002__x001F_Z_x0018_}Y@Âö;;@À_x0018_hR_x001C_XÀ_x0010_áWâHDÀ²Pç_x0011_z,À:æÂ_x001B_Àà_x001D_À_x0002__x0003__x001B_)XÀè_x0002_Ï^ØSÀî_x000E_7~HPÀÈ¾ÃÞ' QÀò0	ã	äcÀØÿÎØÃQ]ÀÒ¨ò1_x000F_ÙfÀø¿Á_x0001_ZÀ_x0006__x0018_ ÃfÀË¸CdgÀ 7@é¹o0@_x0002_Ç_x001B_I!9À½ó_x0007_aPÀ_x0013_× :@@Ò%_x0016_['&amp;À8_x0002_¾9fGdÀ8_x0011_éáV@]R.?\jÀ0Eõ_x0014_5PÀ(_x0004__x001C_í8]À_x001B_Ðñ! @Ã¦zâ_\À_x001D_;ð_x0014__x000B_ltÀ2e^q-åmÀ/Æ¢QÀ_x0002__x0002_6oðUê?_x000C_ù=EYÀ0¬cå¼}DÀPÞö_x001E_8WÀ_x0002_»:e_x001A_û¿â_x0010_»:_x001A_@@g¼âí§3À_x0003__x0005_ ÷_x001A_[æ_x0016_AÀìÆàVdÀ_x0003_Ê¹C¡L^À¼ói0ì_x0002_c@_x0003_æ7î=_x0012__x0018_ÀÀ_x0003_ïÏN@\MkxiÀ{w²EltÀ°_x0017_©å¿'PÀ`|¶Å-o@ $RùÁX7ÀaÞ¸cEÀàÏ²¨"\ÀðY_x0004_»_x0002_G@Ð¥p1_x001F_HÀ-FcÈWÀê_¼×_x0002_hÀ2Út}ËlÀXOH¿hìVÀ Hø ô8I@ø_x000E_µ#D_x0008_WÀjSU¼ë1nÀ/¾ÓõÏqÀ_x0013_îH aÀb97ºmÀ0cÅ_x0001_au[ÀÈ$Û³dÀ0)PUuaÀ´J^)[¶iÀ&lt;_x001B_}=!\_À®aý_x0007__x0004_sÀÕ_x001B_q_x0003__x0006__x0001_aÀ_x001E_Ù¾ÑtjÀúº^àÛ_x001A_pÀ@Ëöêj_x000D_AÀnü_x0012_È¡ùaÀÀ_x000B_F¿bõf@ØX_x0012_H©rQÀ`9­¨^mÀø2m'_x001E_TÀ_x0010_ãü	¦YU@_x0003__x0003_ýg_x0001_\Àô!_x0002__x0019_u'aÀ&gt;/_x0008_aÀ_x0014_!ÆjVaÀh_x0004_¢ñô#gÀÜ_x0013__x0002_\4dÀ(ÌÐ*&lt;ÊP@µ7'}_x0001__À_x0010_J._x0001_l2AÀ_x0003_GE¶^}_x000F_À@Âÿsê&gt;@@%®®&gt;_x000B_PÀ õÛóS`À0Èl-cÀ(F6O_x001A__x000C_dÀôÖ.¿ðeÀ`#s¡/_x0017_@À_x0008__x000E_hfÑ`QÀÍcë¥tpÀ;k	ÄrÀð¸%}0@À_x0003_D¦ª·_x0005__x0019_À_x0002__x0003_ú9ø_x0008__x0011_òlÀ_x0003_ÏfºdÀý_x001E_8)´pÀØQ`kÙÕVÀ_x0014__x000D_/£õö`À ºÐ_x0013_@À_x0002_B_x000E_}	·&lt;@àNþ÷é{AÀ_x000E_¶¡¢nÀ_x001A_é=úN_x000D_oÀ c´Ôú¢U@ }Ø$érLÀÐ¸Ö(@²@ÀÙ[sw:pÀà&lt;ÿê!_x0008_kÀ88.øÓT@L/¤Wa@ 49!8?N@_x000E__x0006_û°÷¢jÀy_x0012_ê,@_x0002_ócða=@[.ªqRÀ¦­ØÑýdÀàÞõC¹O@X2éOnÀ =½z_x0006_·JÀHÖC"IbÀàÄQÊ	H@_x0001_QfAqÀÒ=j:|ÚiÀpvK£K@_x0010__x0001_q_x001D__x0002__x0003_W¡MÀØo·ýùTÀÎ_x0004_{3Ò+gÀ ïf_x0008_!=ÀÒx-Fl_x0003_fÀ_x0012_ïv±ËJ`ÀÞlãgÏkÀ_x0002__x0011_/9r[ÀD½Y¢î`Àh¼Ê,PÀæ_x0008_¿éÂ±pÀP_x001D_aÇ_x0018_®Y@ôË_x001A_I'iÀ_x001B_ÿèÇquÀÀç8D$O@ Ä®bO8@@©R_x0016_N.À¸ê³îXÀ@µ_ülò*À6±¥ñh¤kÀ®Tø³nÀÀÌÒg_x0019__x0001_R@ÌeÎ1¾_x000D_TÀ_x0014_u p7k@â_x000E_rËþ	hÀ	Z)3sTÀÐö=Ô¯DÀ&amp;¡ÌÕm`ÀÌÒÙÄ#eÀÀ¶iÿîl1@P_ï¨øÈX@ÀÉÆ¬Ã À_x0002__x0003_än!`qÝlÀhî]S¯\Àa©_x001A_+"]À _x0019__x0008_ÛsÆHÀ_x0002_0_x0006_Å?Ü1À@Á:_x0012_^?Àð_x001C__x0011_k©_x0010_W@¼Gã_x0008_òOfÀì=_x000E_t%dÀX_x0001__x0018_¥_x001C_RÀXÇaÕPÀðjÎ_x0010_Û_x001F_jÀ2hË÷¬ÜiÀ&gt;_x001E_×_x000E_RÀÐÇÁMdGÀ YõåöPdÀ }']À n÷_x001C_ÔAÀ¼ÂÂ°XdÀl_x0018_KdaÀÀ²._x000F_KôFÀö·RÜe¤fÀø_x000F_x_x0010_&gt;T@_x0002_úx«_x0013_e_x001F_@EÈÿbÀp½I±_x0013_&amp;Y@XÎ*XS@_x0002_®~VàÇ1@ÐkÃ_x000B_þåWÀÁ&gt;«ÂSÀ_x0002_+_x001D_Yµ§_x001A_@pM¾7_x0003__x0005__x0004_Z@_x0003_pq_x001A_¥eÀÜ=_x0014_h}jÀìïwí^hÀ ¹0_x001C_H9IÀ_x001C_øE¿]lÀ°i½ÄlÀ¸_x001E_hgÀàÕ_x0018__x000D_÷æ]@hqàã	\ÀXhdä_x001F_:WÀ_x0008_w__x0014_;TÀvW3oêhÀÁ»_x0017__x000C_çÔsÀ_x0001_m;ühÀ\_x001F_-_x000D__x0008_gÀÚ_x000B_ºü_x001A_FgÀ@ât|CI@ø?÷8EÀV_x000C_þaþã`Àä*Ô8pjÀàa?ºXÓ&gt;@Pm_x000F__x0006_éú]À8ÛÂt¢_RÀ6Ì*8lhÀ8ÕÞÍ_x0019_]À_x0002_Ú¬~hÀøyýyYÀëD/aH_x0017_@~ËÀS&amp;¾nÀ ¤O·}4À¨_x001F_beÀ_x0006__x0007_ ^/_x0015_é&lt;À{a_x0002_ÿw_x0001_rÀ¡_x000B_?5Ø\ÀNF]DWácÀ _x000E_%¼VÀ(ó-®hÀ*_x0002_¹Éa_x000F_lÀ K÷_x001C_Â4À`¼*``âB@ð_x0001_`I5AÀ_x0016_oÓ#ò`À_x0006_ñ_\C_x0006_kÀ_x001D_/]@_x0010_1_x000E__x0013_cÀ¸Î_x001E_.ÑXÀØtJß¤WÀðpr_x0003_-G@°_x000D__x0003_PQ.PÀb_x0014_-bÎYÀ¨b:ÂÿÜZÀ_x0006_¡,ÄÕ_x0019_ÀQ_x0016_`À_x0010_ë_x001F__x000B_SÀÈ38_x0015_÷TÀ¬Ð_x000D_©UkÀ µÉ-²&gt;À_x0006__x001E_¥M_x0004_(À_x0006_,i5ÑçPÀ0_x0005_ÕU)\R@´Y5µ{_x0014_[ÀPvòõ%Yd@_x0006_Éç_x0005__x0007_Êw_x0001_@Tí#¶]ýeÀ&amp;ùßm³_x0006_kÀP_x000D_|f®#LÀÈ.RèAQÀàS!îñh`Àà§H&gt;ï[EÀPkY¶G_x0018_HÀPáUùL_WÀÈ½1¥_x0013_e^Àè_x001F_££ìo]ÀuÏòö_yrÀÛhv{_x001A__x0012_@JqG°4ÓbÀ@¾Ìrö¦J@H¨zá uWÀ@_x0002_°6fVÀþø¿àN­kÀø©vì_x0004_P@_x0018_g¨&lt;_x0003_÷SÀÄ_x001D_=Ð»+@^_x0005__x0001_»ñ_q@~s_x001B__x0013_ÃØhÀO¤6À_x001F_xÀ²î~t8pÀ ÛÏºª;Àð	_x000D__x0004_4·\À¬?{;hÀ ²°3¾A@@²2ñ_x0018_SÀ^é,&gt;î¼sÀUöÅ[2@_x0001__x0002_à~Ø¾AB@rmW_x000F__x001A_gÀL:N_x0014_ÛHb@(?Ôr_x0006_åR@H_x0001_ì3(*PÀ@w Lö+À¸Í[Ãü`À _x0019_´§ßù0@ªx¹ç_x0011_iÀÀ7s_x0011_¸PÀ ÜÀ\wS6ÀR±;­_x001A_´kÀÐ1¡¹ÀM@RZ1hcqkÀ!|îÚ&amp;¿uÀ_x0014_{_x0002__x0005_qnÀ@ôÐOSfÀ¨_x0012__x0016_6_x0008_GQÀðÑÞ_x000B_7WÀè5_x000D__x000C_ÝmÀ&amp;â¼&amp;@¸P_x0012_ñFªS@`´Eÿ°áLÀØþ³úMãkÀºM~b_x0002_¤fÀàæ©)ÔÙ&lt;@øÂÁg_x0004_lÀ_x0001__x0015_ûGk0ÀpÍ}Ý¾WÀ@ _x0010_±~]MÀ_x0006_ãý£ìdÀÀµa_x001E__x0002__x0004_*r7ÀC°ÿª¥R@À¤ÞHxÓ"@HB&lt;_x0008_±[À°Êr_x000B_wl@®=_x0001_JSÁ`ÀzÒL ÉhÀ_x0010_L_x0008__x0001_£«@À^¨ªf&gt;cÀ¼_x001E_Â¦_x001F_â^ÀÐõGaèHÀ@¯ðí_x001D_»0À@R_x0016__x0005_À&lt;À4 Qd°[Àx_x0018_¸UxGR@_x0018_	ú¿Î_@0+:Ê_x000F_°G@®të§ÊV`Àpùt?W$FÀ8n_x000D_Ç¹ SÀx/h_x0017_ôDX@ A(1¿aZ@t(Ú:¦¼aÀB\_x0007_=§&amp;kÀ_x0002_ûë1då;À¾­ÂYânÀm,6]Àò)_x000E_©bÀ_x0002_¡NÑYfÀ¬0POþvj@_x0010_ðØmcF@¦u_x0003_u"jÀ_x0002__x0003__x0003_ºìè_x001C_I@²_x0004_y_x0012_·jhÀ`ôh	ñ«B@Ð+_x000F_UÜXÀ_x0012_)¸XÍªaÀ$û~ÜóXÀ`k}K®=À$_x000B_ ÜbÀþùé}¥¢fÀÌÐ1`bì\À_x0007_J_x001E__x0018_pÀ¦Î[2_x001D_nÀÂºþ"ÜcÀø|×_x0003__x0003_ZÀ`·_x0004_yäG@ßèËøtCsÀ$&lt;_x0001_'À ãÌðGÀ8¿_x0005_~ VQ@ÐIn±X&amp;OÀðÅÄ¤Dn@À ãºv_x0010_YÀ`_x000E__x0013_o_x0019__x001B_[ÀL¶ñ/Y\Àð&lt;&gt;TüZ@B¶_x0019_ÉcÀØìÆIÁIb@nû*&amp;nÀ_x0002__A.ggÀH×Ä_x000B_KQÀ[	VºfÀP_x001D_é_x0006_	O&gt;AÀª.º÷Z_x0016_kÀ_x0006_`.uÛ¿yzog_x0018__x0014_@`ØïMáW@_x0008__x0007__x0011__x0011_Ï_À+ÑZo·]À_x0010__x0016__x0002_äoIÀ`gÄàöM@°_P®xAJÀá¸'2FqwÀÐ_x0018_@_x001D_ÆOÀ`IR å­jÀôr]_x0004_ðcÀ2$E¥J©mÀ_x0006_F®Ö¾a@`Äò_x0010__x0002_RÀ_x0006_1ÆÍO_x0001_&amp;@p_x0018_ûâ'\À ¥¿LÊKÀàÎ`Ù²¶3Àðpº Ø¼AÀLèb&gt;àeÀ&amp;ÄÜ_x0006_³lÀlk¨_x000F__x0004_aÀ_x0005_Ô`/&amp;_x0012_@º0_x0017_ëRgÀ_x0006_àå&gt;*¾Ï¿²_x0017_»oÀØx#T0OaÀ _x0019_x_x0003_Ng7ÀàêVU$YiÀ_x0001__x0002_ÀSHÅ_x0018_FÀX[R½h^À`?)_x000C_d6CÀ_x000C_.C_x0004_¶cÀöjü9fÀd×­ÌLäk@_x0001_äHo_x0010_@ k»¢/_x0005_9À`#y_x0013_r-&lt;ÀPLZ_x0014__x0016_eÀXiuS@XL»ÝjÀ@¤-Îü½3ÀîÍ0©þhÀQ9®_x001D_ÃeÀ¼%µ8;À¸ô{KØ_ÀÈ ì_x0002_{5R@@ä"îhÀ,¿}cÊðgÀ_x0004__x0007_2ÚOlÀò=¡=²_x0007_oÀ`lZAù0Àx$Úð]À«ß¸PÑürÀ@êù|ÑÃaÀ@#¥Yd'À_x0018_²+d_K^À/hñäfÀx/_x0012_2M_x0013_\À³_x0019__x0013_1ÝrÀpÛs¯_x0004__x0005_lqJÀ®z4_x0001_`ÀüçdÚ]ÀB­£_x000C_=@¨ÖÁ¿nÀÈãÓ°çÛTÀ@Q_x0019_ÌÚMÀÈÈÑæ_x0018_o@P_x0003_ÄbQ1H@ ¾Õ=·ÖTÀÀo_x001F_s_x0006_&amp;Àp/5ù_x0014_E@|_x001E_±|RcÀÐ[^)²P@_x0004_DóiÆLH@êç»_x0019_Õt@8b§¡_x0015_SÀ¨_x0016_+_x000F_$ü_@ ¬ñ%åí2ÀîÜp=@ðzðàE@mÝÄ_x0010_ª_À¾ëÅ(ûQaÀ`¦æõp[À_x0004_iMÉ÷ÅbÀp_x001F_3!_x0010_HgÀÚ¨¯ÑêkÀ°%uW~cÀ_x0002_éù_x000F_lÀPW¦ßÅKÀZ_x000E_¯õù¼cÀÑÉ_x001C_cupÀ_x0002__x0003_À$îù_x000F_@À Út¨=@p_x0018_b®¬¶N@@ñ1}{0À_x0008_È#©»ÏWÀ j&amp;_x000C_tpK@bXÃy]TÀ_x0002_É@_x000E_"ó_x0017_ÀÀ!r2¹LÀ_x0018__x000B_2YbÀ Ë_x000D_õ_x0005_=@@ä[úÎ½%@0}«R+G@ Mþ´ôýYÀ_x0002__x001B_YCª_x001E_@_x0015_®H;Fd@hÚ_x0001_]dÀÀ+n&lt;è2À¥_x000D_)Îð_x0004_tÀ_x0014_cæ¾h_x0008_cÀ ¡^_x0004_¨0Àè¬_x0014_JoSÀPòËXLÀÐ_x001D_&lt;]%@SÀ¬G,&lt;(K`À¬óRÉÉeÀt8Bí_x0007_h@@_x000C_ó7@0~{0TÀ7gF&gt;jÀ`(;GÜ8ÀP_x000C_w_x0003__x000B_ñB@°·À+@À°_x000D_ÀcjuEÀ sK¡r£KÀøûY8_x000B_ÐWÀ_x0003_«P_x0019_±_x000E_@ eQ;GÀPYïÕ_x001E_G`À_x0003_Æ_x000B__x0004_ÕÜ+@Ð±[À"_x0002_ÄÿFCkÀPóÝæ@@	¶&gt;Ú¼_x0008_sÀ_x0003_$ÒD£_@p}.u5á]Àª·Ë6ÞoÀ_x000E_­¶?ÇÈgÀ _x0006_¬ã`N=À_x0018_Ã¤¢ßWÀ_x0003__x001E_¢,_x001A_&gt;ò?`D2&gt;W^À÷ð¶Ú[À_x0003_H[_x001F_fÑ¿`È¤n_x0003_4@ÀjÃg_x0001_b@àÊ_x0003_aÀÀ¨_Øí_x0005_TÀíª¸aÀøvÇ½_x000D__@¸Ð)çtSÀ_x000B__x0007_Â_x0015_e§tÀ_x0016_½×1pÙlÀ_x0001__x0002__x000C_l._x0010_ÈàtÀL`ÎébÀLÄJ3ÇeÀp_x0010_8_x001C_´C@XOlÜ?JUÀpÎ×_x000C_?óPÀÄ_x0007_\£ü±bÀbVy,_x0019_cÀp¹W_x0005_RÀ_x001C_Å0¼ íYÀ¸%ï_x0016_ya]À¨wPéÓ]ÀÐ¼1»Q_x001E_N@_x0001_Ù+Â¬S_x0010_@Êï9#K@è_x0005_ó«àæb@@¿åÚí&lt;@ _x0002_Ãªc4@@¶eÀ00­Å_x0019_C@@úË(üQ@H_x0008_ø^®aÀ@àb'ÀBG®ðù·`ÀXùÿÚpYÀÊô@Y ûmÀ §v¢nMÀ®`Îñ_x0007_mÀ_x0001__x0004_½»îþ¿ æ[4fÀ¤Ðß_x0001_Õ_x0017_cÀ_x0018_\&lt;W_x0005__x0006_¹_x0006_WÀ_x0005_@ËN7ûÓ?ÀúÑ_x000E_4À¼ÎÍ±_x000F_aÀÄ¯LÈTÀ_x001E_(ÿ~_x0003_·fÀ=ÀT_x0002_I_x0005_sÀ*Î9/únÀ_x0002_x&lt;"}ndÀ´Ö²ø¦mÀh/_x001B_¿´9_@î_x0005_}_x0010_ª}dÀõj±ýÂH@_x0010_ðÉOÓ(VÀ#&lt;¯ôÒ9@H_x000C_-Z	]À_x0010_¹øø_x0002_=C@pÙ[É¨åLÀ_x0005_1Ýå_x0017_À&lt;_x0006_Ò*·÷nÀ0ír/._x001D_bÀ_x0001__x0005__x0005__x0005_1_x0005__x0005__x0005_Beef Enterprise Budget Northern UtahV_1 risk.xlsx_x0004__x0005__x0005__x0005__x0017__x0005__x0005__x0005_Northern UT Information_x0002__x0004__x0002__x0002__x0002__x0002__x0012__x0002__x0002__x0002_Northern UT Budget_x0001__x0002__x0002__x0002__x0003__x0002__x0002__x0002_I49_x0015__x0002__x0002__x0002_=RiskOutput()+I14-I472_x0002__x0002__x0002_Income Over Total Costs_x0001_B49_x0001_I17_x0001_Value or Cost/Head_x0002__x0002__x0002__x0002__x0001__x0002__x0002__x0002__x0002__x0002__x0002__x0002__x0001__x0002__x0002__x0002__x000D__x0002__x0002__x0002__x0002__x0002__x0002__x0002_,_x0002__x0002__x0002_Income Over Total Costs / Value or Cost/Head_x0002__x0002__x0002__x0002__x0002__x0002__x0002__x0002__x0001__x0002_ÿÿÿÿÿÿÿÿÿÿÿÿÿÿÿÿÿÿÿÿÿÿÿÿÿÿÿÿÿÿÿÿÿÿÿÿÿÿÿÿÿÿ_x0002__x0002__x0014__x0002__x0002__x0002_Northe_x0004__x0005_rn UT Calendar_x0004__x0004__x0004__x0004__x000D__x0004__x0004__x0004_Budget Inputs_x0002__x0004__x0004__x0004__x0002__x0004__x0004__x0004_F9_x0014__x0004__x0004__x0004_=RiskNormal(1.5,0.5)#_x0004__x0004__x0004_550 Steer Price_x0001_E9_x0001_E6_x0001_Output Prices_x0001__x0004__x0004__x0004__x0004__x0004__x0004__x0004__x0004__x0004__x0004__x0004__x0001__x0004__x0004__x0004__x0014__x0004__x0004__x0004__x001F__x0004__x0004__x0004_550 Steer Price / Output Prices_x0001__x0004__x0004__x0004__x0004__x0004__x0004__x0004__x0004__x0004__x0004__x0004__x0004__x0004__x0004__x0004__x0004__x0004__x0004__x0004__x0003__x0004__x0004__x0004_F12_x0013__x0004__x0004__x0004_=RiskNormal(150,50)._x0004__x0004__x0004_Alfalfa Hay (Good Feeder)_x0001_E12_x0001_E11_x0001_I_x0003__x0004_nput Prices_x0001__x0003__x0003__x0003__x0003__x0003__x0003__x0003__x0001__x0003__x0003__x0003__x0001__x0003__x0003__x0003__x0013__x0003__x0003__x0003_(_x0003__x0003__x0003_Alfalfa Hay (Good Feeder) / Input Prices_x0001__x0003__x0003__x0003__x0003__x0003__x0003__x0003__x0003__x0003__x0003__x0003__x0003__x0003__x0003__x0003__x0003__x0003__x0003__x0003__x0003__x0003__x0003__x0003__x0001__x0003__x0003__x0003__x0005__x0003__x0003__x0003_Sim#1_x0003__x0003__x0003__x0003__x0003__x0003__x0008__x0003__x0003__x0003_C1KWWAW1_x0001__x0003__x0003__x0003__x0005__x0003__x0003__x0003__x0001__x0003__x0003_À_x0003__x0003__x0001__x0003__x0003_1_x0003__x0003__x0003_FWPMLUZUEGP3R4UZN2Q9PEPB_x0003__x0003__x0003_ÿÿ_x0003__x0003_ÿÿÿÿ_x0003__x0003_ÿÿÿÿ_x0010_'_x0003__x0003_±_x0002__x0003__x0003__x0003__x0001__x0003__x0003__x0010__x0001__x0003__x0003__x0003__x0003_1_x0003__x0003_Beef Enterprise Budget Northern Utah_x0002__x0003_V_1 risk.xlsx_x0018__x0002__x0002__x0002_FWPMLUZUEGP3R4UZN2Q9PEPB_x0004__x0002__x0002__x0002__x0002__x0017__x0002__x0002_Northern UT Information_x0002__x0002__x0002__x0002__x0002__x0012__x0002__x0002_Northern UT Budget_x0001__x0002__x0002__x0002__x0002_0_x0002__x0002__x0002__x0008__x0002__x0015__x0002__x0002_=RiskOutput()+I14-I472_x0002__x0002_Income Over Total Costs_x0001_B49_x0001_I17_x0001_Value or Cost/Head_x0002__x0002__x0002__x0002__x0002__x0001__x0002__x0002__x0002__x0002__x0002__x0002__x0002__x0002__x0001__x0002__x0002__x0002__x000D__x0002__x0002__x0002__x0002__x0002__x0002__x0002__x0002__x0002__x0002__x0002__x0002__x0002__x0002__x0002__x0001_ÿÿÿÿÿÿÿÿÿÿÿÿÿÿÿÿÿÿÿÿÿÿÿÿÿ_x0003__x0004_ÿÿÿÿÿÿÿÿÿÿÿÿÿÿÿÿÿ_x0003_ÿÿ_x0003__x0014__x0003__x0003_Northern UT Calendar_x0003__x0003__x0003__x0003__x0003__x000D__x0003__x0003_Budget Inputs_x0002__x0003__x0003__x0003__x0003__x0008__x0003__x0003__x0003__x0005__x0003__x0014__x0003__x0003_=RiskNormal(1.5,0.5)#_x0003__x0003_550 Steer Price_x0001_E9_x0001_E6_x0001_Output Prices_x0003__x0001__x0003__x0003__x0003__x0003__x0003__x0003__x0003__x0003__x0001__x0003__x0003__x0003__x0014__x0003__x0003__x0003__x0003__x0003__x0003__x0001__x0003_ÿÿÿÿ_x0003__x0003__x0003__x0003__x0003__x0003__x0003__x0003__x0003__x0003__x0003__x0003__x0003__x0003__x0003__x0003__x0003__x000B__x0003__x0003__x0003__x0005__x0003__x0013__x0003__x0003_=RiskNormal(150,50)._x0003__x0003_Alfalfa Hay (Good Feeder)_x0001_E12_x0004__x0005__x0001_E11_x0001_Input Prices_x0004__x0001__x0004__x0004__x0004__x0004__x0001__x0004__x0004__x0004__x0001__x0004__x0004__x0004__x0013__x0004__x0004__x0004__x0004__x0004__x0004__x0001__x0004_ÿÿÿÿ_x0004__x0004__x0004__x0004__x0004__x0004__x0004__x0004__x0004__x0004__x0004__x0004__x0004__x0004__x0004__x0004__x0002__x0004__x0004__x0004__x0004__x0004__x0004__x0004__x0001__x0004__x0004__x0004__x0004__x0004__x0004__x0004__x0002__x0004__x0004__x0004__x0004__x0004__x0003__x0004__x0004__x0004__x0004__x0004__x0004__x0004__x0004__x0004__x0003__x0004__x0001__x0004__x0004__x0004__x0004__x0004__x0001__x0004__x0004__x0004__x0004__x0004__x0001__x0004__x0004__x0004__x0004__x0004__x0004__x0004__x0004__x0004__x0004__x0004__x0004__x0004__x0004__x0004__x0012_'_x0004__x0004__x001C__x0004__x0004__x0004_ÿÿÿÿÿÿÿÿÿÿÿÿÿÿÿÿ_x0004__x0004__x0004__x0004_ N_x0004__x0004__x0018__x0004__x0004__x0004__x0004__x0004__x0004__x0004__x0004__x0004__x0004__x0004__x0004__x0004__x0004__x0004__x0004__x0004__x0004__x0004__x0011_'_x0004__x0004__x000C__x0004__x0004__x0004__x0001__x0004__x0004__x0004__x0013_'_x0004__x0004__x0010__x0004__x0004__x0004__x0001__x0004__x0004__x0004__x0001__x0004__x0004__x0004__x0001__x0004__x0004_ÿÿÿÿ</t>
  </si>
  <si>
    <t>f112ad092462a852a64e7c69b3996eba0|1|27683|bd09540558e34b80c48f0d52d30a6cad</t>
  </si>
  <si>
    <t>Utah State University Cow-Calf Enterprise Budget - 2022</t>
  </si>
  <si>
    <t>2021 Avg. Price/Unit</t>
  </si>
  <si>
    <t>2022 Proj. Price/Unit</t>
  </si>
  <si>
    <t>Fixed Costs</t>
  </si>
  <si>
    <t>Variable Costs</t>
  </si>
  <si>
    <t>Return over Costs</t>
  </si>
  <si>
    <t>Feed Cost</t>
  </si>
  <si>
    <t>Hay Cost</t>
  </si>
  <si>
    <t>Total</t>
  </si>
  <si>
    <t>Per Head</t>
  </si>
  <si>
    <t>Cost of Gain</t>
  </si>
  <si>
    <t>Steers</t>
  </si>
  <si>
    <t>Heifers</t>
  </si>
  <si>
    <t>End Weight</t>
  </si>
  <si>
    <t>Birth Weight</t>
  </si>
  <si>
    <t>Gain</t>
  </si>
  <si>
    <t>Cost per head</t>
  </si>
  <si>
    <t>Area: Central Utah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</si>
</sst>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"/>
    <numFmt numFmtId="167" formatCode="0.0%"/>
    <numFmt numFmtId="168" formatCode="0.000"/>
    <numFmt numFmtId="169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6"/>
      <color rgb="FF3F3F76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u/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F0FF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2" fillId="6" borderId="54" applyNumberForma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250">
    <xf numFmtId="0" fontId="0" fillId="0" borderId="0" xfId="0"/>
    <xf numFmtId="0" fontId="7" fillId="0" borderId="0" xfId="0" applyFont="1"/>
    <xf numFmtId="0" fontId="7" fillId="0" borderId="6" xfId="0" applyFont="1" applyBorder="1"/>
    <xf numFmtId="0" fontId="7" fillId="0" borderId="7" xfId="0" applyFont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4" borderId="10" xfId="0" applyFont="1" applyFill="1" applyBorder="1"/>
    <xf numFmtId="0" fontId="8" fillId="4" borderId="11" xfId="0" applyFont="1" applyFill="1" applyBorder="1"/>
    <xf numFmtId="0" fontId="7" fillId="0" borderId="3" xfId="0" applyFont="1" applyBorder="1"/>
    <xf numFmtId="0" fontId="7" fillId="0" borderId="1" xfId="0" applyFont="1" applyBorder="1"/>
    <xf numFmtId="0" fontId="7" fillId="4" borderId="11" xfId="0" applyFont="1" applyFill="1" applyBorder="1"/>
    <xf numFmtId="0" fontId="7" fillId="4" borderId="12" xfId="0" applyFont="1" applyFill="1" applyBorder="1"/>
    <xf numFmtId="0" fontId="0" fillId="0" borderId="22" xfId="0" applyBorder="1"/>
    <xf numFmtId="0" fontId="5" fillId="5" borderId="22" xfId="0" applyFont="1" applyFill="1" applyBorder="1"/>
    <xf numFmtId="0" fontId="3" fillId="5" borderId="22" xfId="0" applyFont="1" applyFill="1" applyBorder="1"/>
    <xf numFmtId="0" fontId="11" fillId="5" borderId="22" xfId="0" applyFont="1" applyFill="1" applyBorder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9" fontId="13" fillId="0" borderId="3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5" fillId="6" borderId="54" xfId="5" applyFont="1"/>
    <xf numFmtId="9" fontId="15" fillId="6" borderId="54" xfId="5" applyNumberFormat="1" applyFont="1"/>
    <xf numFmtId="2" fontId="15" fillId="6" borderId="54" xfId="5" applyNumberFormat="1" applyFont="1"/>
    <xf numFmtId="1" fontId="15" fillId="6" borderId="54" xfId="5" applyNumberFormat="1" applyFont="1"/>
    <xf numFmtId="165" fontId="15" fillId="6" borderId="54" xfId="5" applyNumberFormat="1" applyFont="1"/>
    <xf numFmtId="0" fontId="15" fillId="6" borderId="54" xfId="5" applyFont="1" applyAlignment="1">
      <alignment horizontal="center"/>
    </xf>
    <xf numFmtId="0" fontId="15" fillId="6" borderId="54" xfId="5" applyFont="1" applyAlignment="1">
      <alignment horizontal="right"/>
    </xf>
    <xf numFmtId="0" fontId="15" fillId="6" borderId="0" xfId="5" applyFont="1" applyBorder="1" applyAlignment="1">
      <alignment horizontal="right"/>
    </xf>
    <xf numFmtId="0" fontId="19" fillId="0" borderId="58" xfId="0" applyFont="1" applyBorder="1" applyAlignment="1">
      <alignment horizontal="center"/>
    </xf>
    <xf numFmtId="0" fontId="20" fillId="0" borderId="58" xfId="0" applyFont="1" applyBorder="1"/>
    <xf numFmtId="0" fontId="20" fillId="0" borderId="58" xfId="0" applyFont="1" applyBorder="1" applyAlignment="1">
      <alignment horizontal="center"/>
    </xf>
    <xf numFmtId="0" fontId="22" fillId="8" borderId="59" xfId="7" applyFont="1" applyBorder="1" applyAlignment="1">
      <alignment horizontal="right"/>
    </xf>
    <xf numFmtId="0" fontId="22" fillId="8" borderId="48" xfId="7" applyFont="1" applyBorder="1" applyAlignment="1">
      <alignment horizontal="right"/>
    </xf>
    <xf numFmtId="0" fontId="20" fillId="0" borderId="19" xfId="0" applyFont="1" applyBorder="1"/>
    <xf numFmtId="165" fontId="21" fillId="0" borderId="19" xfId="1" applyNumberFormat="1" applyFont="1" applyBorder="1"/>
    <xf numFmtId="165" fontId="20" fillId="0" borderId="19" xfId="1" applyNumberFormat="1" applyFont="1" applyBorder="1"/>
    <xf numFmtId="0" fontId="22" fillId="9" borderId="59" xfId="8" applyFont="1" applyBorder="1" applyAlignment="1">
      <alignment horizontal="right"/>
    </xf>
    <xf numFmtId="0" fontId="22" fillId="9" borderId="48" xfId="8" applyFont="1" applyBorder="1" applyAlignment="1">
      <alignment horizontal="right"/>
    </xf>
    <xf numFmtId="0" fontId="22" fillId="9" borderId="35" xfId="8" applyFont="1" applyBorder="1" applyAlignment="1">
      <alignment horizontal="right"/>
    </xf>
    <xf numFmtId="0" fontId="22" fillId="9" borderId="3" xfId="8" applyFont="1" applyBorder="1" applyAlignment="1">
      <alignment horizontal="right"/>
    </xf>
    <xf numFmtId="165" fontId="21" fillId="0" borderId="58" xfId="1" applyNumberFormat="1" applyFont="1" applyBorder="1"/>
    <xf numFmtId="165" fontId="22" fillId="7" borderId="0" xfId="6" applyNumberFormat="1" applyFont="1"/>
    <xf numFmtId="165" fontId="22" fillId="7" borderId="59" xfId="6" applyNumberFormat="1" applyFont="1" applyBorder="1"/>
    <xf numFmtId="165" fontId="22" fillId="7" borderId="48" xfId="6" applyNumberFormat="1" applyFont="1" applyBorder="1"/>
    <xf numFmtId="165" fontId="22" fillId="7" borderId="36" xfId="6" applyNumberFormat="1" applyFont="1" applyBorder="1"/>
    <xf numFmtId="165" fontId="22" fillId="7" borderId="35" xfId="6" applyNumberFormat="1" applyFont="1" applyBorder="1"/>
    <xf numFmtId="165" fontId="22" fillId="7" borderId="1" xfId="6" applyNumberFormat="1" applyFont="1" applyBorder="1"/>
    <xf numFmtId="165" fontId="22" fillId="7" borderId="3" xfId="6" applyNumberFormat="1" applyFont="1" applyBorder="1"/>
    <xf numFmtId="0" fontId="22" fillId="7" borderId="59" xfId="6" applyFont="1" applyBorder="1" applyAlignment="1">
      <alignment horizontal="right"/>
    </xf>
    <xf numFmtId="0" fontId="22" fillId="7" borderId="48" xfId="6" applyFont="1" applyBorder="1" applyAlignment="1">
      <alignment horizontal="right"/>
    </xf>
    <xf numFmtId="0" fontId="22" fillId="7" borderId="35" xfId="6" applyFont="1" applyBorder="1" applyAlignment="1">
      <alignment horizontal="right"/>
    </xf>
    <xf numFmtId="0" fontId="22" fillId="7" borderId="1" xfId="6" applyFont="1" applyBorder="1" applyAlignment="1">
      <alignment horizontal="right"/>
    </xf>
    <xf numFmtId="0" fontId="22" fillId="8" borderId="14" xfId="7" applyFont="1" applyBorder="1" applyAlignment="1">
      <alignment horizontal="right"/>
    </xf>
    <xf numFmtId="0" fontId="22" fillId="8" borderId="60" xfId="7" applyFont="1" applyBorder="1" applyAlignment="1">
      <alignment horizontal="right"/>
    </xf>
    <xf numFmtId="0" fontId="22" fillId="8" borderId="62" xfId="7" applyFont="1" applyBorder="1" applyAlignment="1">
      <alignment horizontal="right"/>
    </xf>
    <xf numFmtId="169" fontId="22" fillId="8" borderId="34" xfId="4" applyNumberFormat="1" applyFont="1" applyFill="1" applyBorder="1" applyAlignment="1">
      <alignment horizontal="right"/>
    </xf>
    <xf numFmtId="169" fontId="22" fillId="8" borderId="63" xfId="4" applyNumberFormat="1" applyFont="1" applyFill="1" applyBorder="1" applyAlignment="1">
      <alignment horizontal="right"/>
    </xf>
    <xf numFmtId="0" fontId="22" fillId="8" borderId="34" xfId="7" applyFont="1" applyBorder="1" applyAlignment="1">
      <alignment horizontal="right"/>
    </xf>
    <xf numFmtId="0" fontId="22" fillId="8" borderId="61" xfId="7" applyFont="1" applyBorder="1" applyAlignment="1">
      <alignment horizontal="right"/>
    </xf>
    <xf numFmtId="0" fontId="22" fillId="8" borderId="63" xfId="7" applyFont="1" applyBorder="1" applyAlignment="1">
      <alignment horizontal="right"/>
    </xf>
    <xf numFmtId="165" fontId="22" fillId="9" borderId="14" xfId="8" applyNumberFormat="1" applyFont="1" applyBorder="1" applyAlignment="1">
      <alignment horizontal="right"/>
    </xf>
    <xf numFmtId="165" fontId="22" fillId="9" borderId="60" xfId="8" applyNumberFormat="1" applyFont="1" applyBorder="1" applyAlignment="1">
      <alignment horizontal="right"/>
    </xf>
    <xf numFmtId="165" fontId="22" fillId="9" borderId="59" xfId="8" applyNumberFormat="1" applyFont="1" applyBorder="1" applyAlignment="1">
      <alignment horizontal="right"/>
    </xf>
    <xf numFmtId="165" fontId="22" fillId="9" borderId="34" xfId="8" applyNumberFormat="1" applyFont="1" applyBorder="1" applyAlignment="1">
      <alignment horizontal="right"/>
    </xf>
    <xf numFmtId="165" fontId="22" fillId="9" borderId="61" xfId="8" applyNumberFormat="1" applyFont="1" applyBorder="1" applyAlignment="1">
      <alignment horizontal="right"/>
    </xf>
    <xf numFmtId="165" fontId="22" fillId="9" borderId="48" xfId="8" applyNumberFormat="1" applyFont="1" applyBorder="1" applyAlignment="1">
      <alignment horizontal="right"/>
    </xf>
    <xf numFmtId="165" fontId="22" fillId="9" borderId="64" xfId="8" applyNumberFormat="1" applyFont="1" applyBorder="1" applyAlignment="1">
      <alignment horizontal="right"/>
    </xf>
    <xf numFmtId="165" fontId="22" fillId="9" borderId="65" xfId="8" applyNumberFormat="1" applyFont="1" applyBorder="1" applyAlignment="1">
      <alignment horizontal="right"/>
    </xf>
    <xf numFmtId="165" fontId="22" fillId="9" borderId="35" xfId="8" applyNumberFormat="1" applyFont="1" applyBorder="1" applyAlignment="1">
      <alignment horizontal="right"/>
    </xf>
    <xf numFmtId="165" fontId="22" fillId="9" borderId="2" xfId="8" applyNumberFormat="1" applyFont="1" applyBorder="1" applyAlignment="1">
      <alignment horizontal="right"/>
    </xf>
    <xf numFmtId="165" fontId="22" fillId="9" borderId="66" xfId="8" applyNumberFormat="1" applyFont="1" applyBorder="1" applyAlignment="1">
      <alignment horizontal="right"/>
    </xf>
    <xf numFmtId="165" fontId="22" fillId="9" borderId="3" xfId="8" applyNumberFormat="1" applyFont="1" applyBorder="1" applyAlignment="1">
      <alignment horizontal="right"/>
    </xf>
    <xf numFmtId="0" fontId="23" fillId="0" borderId="67" xfId="0" applyFont="1" applyBorder="1"/>
    <xf numFmtId="165" fontId="24" fillId="0" borderId="67" xfId="1" applyNumberFormat="1" applyFont="1" applyBorder="1"/>
    <xf numFmtId="9" fontId="22" fillId="8" borderId="63" xfId="2" applyFont="1" applyFill="1" applyBorder="1" applyAlignment="1">
      <alignment horizontal="right"/>
    </xf>
    <xf numFmtId="43" fontId="22" fillId="8" borderId="34" xfId="7" applyNumberFormat="1" applyFont="1" applyBorder="1" applyAlignment="1">
      <alignment horizontal="right"/>
    </xf>
    <xf numFmtId="2" fontId="22" fillId="8" borderId="34" xfId="7" applyNumberFormat="1" applyFont="1" applyBorder="1" applyAlignment="1">
      <alignment horizontal="right"/>
    </xf>
    <xf numFmtId="1" fontId="22" fillId="8" borderId="34" xfId="7" applyNumberFormat="1" applyFont="1" applyBorder="1" applyAlignment="1">
      <alignment horizontal="right"/>
    </xf>
    <xf numFmtId="1" fontId="22" fillId="8" borderId="63" xfId="2" applyNumberFormat="1" applyFont="1" applyFill="1" applyBorder="1" applyAlignment="1">
      <alignment horizontal="right"/>
    </xf>
    <xf numFmtId="0" fontId="15" fillId="6" borderId="68" xfId="5" applyFont="1" applyBorder="1"/>
    <xf numFmtId="9" fontId="15" fillId="6" borderId="68" xfId="2" applyFont="1" applyFill="1" applyBorder="1"/>
    <xf numFmtId="0" fontId="0" fillId="0" borderId="22" xfId="0" applyBorder="1" applyAlignment="1">
      <alignment horizontal="right"/>
    </xf>
    <xf numFmtId="9" fontId="0" fillId="0" borderId="22" xfId="2" applyFont="1" applyBorder="1" applyAlignment="1">
      <alignment horizontal="right"/>
    </xf>
    <xf numFmtId="9" fontId="0" fillId="0" borderId="22" xfId="0" applyNumberFormat="1" applyBorder="1" applyAlignment="1">
      <alignment horizontal="right"/>
    </xf>
    <xf numFmtId="16" fontId="0" fillId="0" borderId="22" xfId="0" quotePrefix="1" applyNumberFormat="1" applyBorder="1" applyAlignment="1">
      <alignment horizontal="right"/>
    </xf>
    <xf numFmtId="0" fontId="0" fillId="0" borderId="22" xfId="0" quotePrefix="1" applyBorder="1" applyAlignment="1">
      <alignment horizontal="right"/>
    </xf>
    <xf numFmtId="43" fontId="22" fillId="8" borderId="34" xfId="4" applyNumberFormat="1" applyFont="1" applyFill="1" applyBorder="1" applyAlignment="1">
      <alignment horizontal="right"/>
    </xf>
    <xf numFmtId="0" fontId="7" fillId="3" borderId="53" xfId="0" applyFont="1" applyFill="1" applyBorder="1"/>
    <xf numFmtId="0" fontId="7" fillId="0" borderId="11" xfId="0" applyFont="1" applyBorder="1" applyAlignment="1">
      <alignment horizontal="left" vertical="center"/>
    </xf>
    <xf numFmtId="0" fontId="7" fillId="2" borderId="52" xfId="0" applyFont="1" applyFill="1" applyBorder="1"/>
    <xf numFmtId="0" fontId="7" fillId="0" borderId="0" xfId="0" applyFont="1" applyAlignment="1">
      <alignment horizontal="left" vertical="center"/>
    </xf>
    <xf numFmtId="0" fontId="26" fillId="0" borderId="4" xfId="3" applyFont="1" applyBorder="1" applyAlignment="1">
      <alignment horizontal="right" vertical="center" wrapText="1"/>
    </xf>
    <xf numFmtId="0" fontId="7" fillId="0" borderId="51" xfId="0" applyFont="1" applyBorder="1"/>
    <xf numFmtId="0" fontId="7" fillId="0" borderId="1" xfId="0" applyFont="1" applyBorder="1" applyAlignment="1">
      <alignment horizontal="left" vertical="center"/>
    </xf>
    <xf numFmtId="0" fontId="26" fillId="0" borderId="8" xfId="3" applyFont="1" applyBorder="1" applyAlignment="1">
      <alignment horizontal="center" vertical="center"/>
    </xf>
    <xf numFmtId="0" fontId="8" fillId="4" borderId="12" xfId="0" applyFont="1" applyFill="1" applyBorder="1"/>
    <xf numFmtId="0" fontId="28" fillId="0" borderId="49" xfId="0" applyFont="1" applyBorder="1"/>
    <xf numFmtId="0" fontId="28" fillId="0" borderId="0" xfId="0" applyFont="1" applyAlignment="1">
      <alignment horizontal="center" wrapText="1"/>
    </xf>
    <xf numFmtId="0" fontId="28" fillId="0" borderId="48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7" fillId="0" borderId="33" xfId="0" applyFont="1" applyBorder="1" applyAlignment="1">
      <alignment horizontal="left" indent="2"/>
    </xf>
    <xf numFmtId="1" fontId="7" fillId="3" borderId="47" xfId="0" applyNumberFormat="1" applyFont="1" applyFill="1" applyBorder="1"/>
    <xf numFmtId="0" fontId="7" fillId="0" borderId="47" xfId="0" applyFont="1" applyBorder="1"/>
    <xf numFmtId="1" fontId="7" fillId="2" borderId="47" xfId="0" applyNumberFormat="1" applyFont="1" applyFill="1" applyBorder="1"/>
    <xf numFmtId="44" fontId="7" fillId="2" borderId="47" xfId="0" applyNumberFormat="1" applyFont="1" applyFill="1" applyBorder="1"/>
    <xf numFmtId="44" fontId="7" fillId="3" borderId="46" xfId="0" applyNumberFormat="1" applyFont="1" applyFill="1" applyBorder="1"/>
    <xf numFmtId="42" fontId="7" fillId="2" borderId="41" xfId="0" applyNumberFormat="1" applyFont="1" applyFill="1" applyBorder="1"/>
    <xf numFmtId="44" fontId="7" fillId="2" borderId="45" xfId="0" applyNumberFormat="1" applyFont="1" applyFill="1" applyBorder="1"/>
    <xf numFmtId="0" fontId="7" fillId="0" borderId="17" xfId="0" applyFont="1" applyBorder="1" applyAlignment="1">
      <alignment horizontal="left" indent="2"/>
    </xf>
    <xf numFmtId="1" fontId="7" fillId="3" borderId="22" xfId="0" applyNumberFormat="1" applyFont="1" applyFill="1" applyBorder="1"/>
    <xf numFmtId="0" fontId="7" fillId="0" borderId="22" xfId="0" applyFont="1" applyBorder="1"/>
    <xf numFmtId="1" fontId="7" fillId="2" borderId="22" xfId="0" applyNumberFormat="1" applyFont="1" applyFill="1" applyBorder="1"/>
    <xf numFmtId="44" fontId="7" fillId="2" borderId="22" xfId="0" applyNumberFormat="1" applyFont="1" applyFill="1" applyBorder="1"/>
    <xf numFmtId="44" fontId="7" fillId="3" borderId="21" xfId="0" applyNumberFormat="1" applyFont="1" applyFill="1" applyBorder="1"/>
    <xf numFmtId="0" fontId="7" fillId="0" borderId="50" xfId="0" applyFont="1" applyBorder="1" applyAlignment="1">
      <alignment horizontal="left" indent="2"/>
    </xf>
    <xf numFmtId="1" fontId="7" fillId="3" borderId="42" xfId="0" applyNumberFormat="1" applyFont="1" applyFill="1" applyBorder="1"/>
    <xf numFmtId="0" fontId="7" fillId="0" borderId="42" xfId="0" applyFont="1" applyBorder="1"/>
    <xf numFmtId="1" fontId="7" fillId="2" borderId="42" xfId="0" applyNumberFormat="1" applyFont="1" applyFill="1" applyBorder="1"/>
    <xf numFmtId="44" fontId="7" fillId="2" borderId="42" xfId="0" applyNumberFormat="1" applyFont="1" applyFill="1" applyBorder="1"/>
    <xf numFmtId="44" fontId="7" fillId="3" borderId="40" xfId="0" applyNumberFormat="1" applyFont="1" applyFill="1" applyBorder="1"/>
    <xf numFmtId="0" fontId="7" fillId="0" borderId="38" xfId="0" applyFont="1" applyBorder="1" applyAlignment="1">
      <alignment horizontal="left" indent="2"/>
    </xf>
    <xf numFmtId="1" fontId="7" fillId="3" borderId="18" xfId="0" applyNumberFormat="1" applyFont="1" applyFill="1" applyBorder="1"/>
    <xf numFmtId="0" fontId="7" fillId="0" borderId="18" xfId="0" applyFont="1" applyBorder="1"/>
    <xf numFmtId="1" fontId="7" fillId="2" borderId="18" xfId="0" applyNumberFormat="1" applyFont="1" applyFill="1" applyBorder="1"/>
    <xf numFmtId="44" fontId="7" fillId="2" borderId="18" xfId="0" applyNumberFormat="1" applyFont="1" applyFill="1" applyBorder="1"/>
    <xf numFmtId="44" fontId="7" fillId="3" borderId="15" xfId="0" applyNumberFormat="1" applyFont="1" applyFill="1" applyBorder="1"/>
    <xf numFmtId="0" fontId="28" fillId="0" borderId="4" xfId="0" applyFont="1" applyBorder="1" applyAlignment="1">
      <alignment horizontal="left"/>
    </xf>
    <xf numFmtId="42" fontId="28" fillId="2" borderId="4" xfId="0" applyNumberFormat="1" applyFont="1" applyFill="1" applyBorder="1"/>
    <xf numFmtId="42" fontId="28" fillId="2" borderId="1" xfId="0" applyNumberFormat="1" applyFont="1" applyFill="1" applyBorder="1"/>
    <xf numFmtId="0" fontId="28" fillId="0" borderId="49" xfId="0" applyFont="1" applyBorder="1" applyAlignment="1">
      <alignment horizontal="center" wrapText="1"/>
    </xf>
    <xf numFmtId="2" fontId="7" fillId="2" borderId="47" xfId="0" applyNumberFormat="1" applyFont="1" applyFill="1" applyBorder="1"/>
    <xf numFmtId="164" fontId="7" fillId="2" borderId="41" xfId="0" applyNumberFormat="1" applyFont="1" applyFill="1" applyBorder="1"/>
    <xf numFmtId="0" fontId="7" fillId="0" borderId="28" xfId="0" applyFont="1" applyBorder="1"/>
    <xf numFmtId="2" fontId="7" fillId="2" borderId="28" xfId="0" applyNumberFormat="1" applyFont="1" applyFill="1" applyBorder="1"/>
    <xf numFmtId="44" fontId="7" fillId="2" borderId="28" xfId="0" applyNumberFormat="1" applyFont="1" applyFill="1" applyBorder="1"/>
    <xf numFmtId="44" fontId="7" fillId="3" borderId="27" xfId="0" applyNumberFormat="1" applyFont="1" applyFill="1" applyBorder="1"/>
    <xf numFmtId="44" fontId="7" fillId="2" borderId="16" xfId="0" applyNumberFormat="1" applyFont="1" applyFill="1" applyBorder="1"/>
    <xf numFmtId="1" fontId="7" fillId="2" borderId="28" xfId="0" applyNumberFormat="1" applyFont="1" applyFill="1" applyBorder="1"/>
    <xf numFmtId="0" fontId="7" fillId="0" borderId="24" xfId="0" applyFont="1" applyBorder="1" applyAlignment="1">
      <alignment horizontal="left" indent="2"/>
    </xf>
    <xf numFmtId="0" fontId="7" fillId="0" borderId="44" xfId="0" applyFont="1" applyBorder="1" applyAlignment="1">
      <alignment horizontal="left" indent="2"/>
    </xf>
    <xf numFmtId="0" fontId="7" fillId="2" borderId="22" xfId="0" applyFont="1" applyFill="1" applyBorder="1"/>
    <xf numFmtId="0" fontId="7" fillId="0" borderId="43" xfId="0" applyFont="1" applyBorder="1" applyAlignment="1">
      <alignment horizontal="left" indent="2"/>
    </xf>
    <xf numFmtId="0" fontId="7" fillId="0" borderId="23" xfId="0" applyFont="1" applyBorder="1" applyAlignment="1">
      <alignment horizontal="left" indent="2"/>
    </xf>
    <xf numFmtId="44" fontId="7" fillId="2" borderId="23" xfId="0" applyNumberFormat="1" applyFont="1" applyFill="1" applyBorder="1"/>
    <xf numFmtId="0" fontId="7" fillId="2" borderId="42" xfId="0" applyFont="1" applyFill="1" applyBorder="1"/>
    <xf numFmtId="0" fontId="7" fillId="0" borderId="39" xfId="0" applyFont="1" applyBorder="1"/>
    <xf numFmtId="164" fontId="7" fillId="2" borderId="18" xfId="0" applyNumberFormat="1" applyFont="1" applyFill="1" applyBorder="1"/>
    <xf numFmtId="44" fontId="7" fillId="2" borderId="19" xfId="0" applyNumberFormat="1" applyFont="1" applyFill="1" applyBorder="1"/>
    <xf numFmtId="0" fontId="7" fillId="0" borderId="36" xfId="0" applyFont="1" applyBorder="1"/>
    <xf numFmtId="0" fontId="7" fillId="0" borderId="35" xfId="0" applyFont="1" applyBorder="1"/>
    <xf numFmtId="164" fontId="28" fillId="2" borderId="34" xfId="0" applyNumberFormat="1" applyFont="1" applyFill="1" applyBorder="1"/>
    <xf numFmtId="164" fontId="28" fillId="2" borderId="0" xfId="0" applyNumberFormat="1" applyFont="1" applyFill="1"/>
    <xf numFmtId="0" fontId="7" fillId="0" borderId="11" xfId="0" applyFont="1" applyBorder="1"/>
    <xf numFmtId="0" fontId="7" fillId="0" borderId="30" xfId="0" applyFont="1" applyBorder="1"/>
    <xf numFmtId="0" fontId="7" fillId="0" borderId="29" xfId="0" applyFont="1" applyBorder="1"/>
    <xf numFmtId="0" fontId="7" fillId="2" borderId="25" xfId="0" applyFont="1" applyFill="1" applyBorder="1"/>
    <xf numFmtId="44" fontId="7" fillId="2" borderId="17" xfId="0" applyNumberFormat="1" applyFont="1" applyFill="1" applyBorder="1"/>
    <xf numFmtId="0" fontId="7" fillId="0" borderId="16" xfId="0" applyFont="1" applyBorder="1" applyAlignment="1">
      <alignment horizontal="left" indent="4"/>
    </xf>
    <xf numFmtId="44" fontId="7" fillId="2" borderId="18" xfId="2" applyNumberFormat="1" applyFont="1" applyFill="1" applyBorder="1"/>
    <xf numFmtId="44" fontId="28" fillId="2" borderId="14" xfId="0" applyNumberFormat="1" applyFont="1" applyFill="1" applyBorder="1"/>
    <xf numFmtId="44" fontId="28" fillId="2" borderId="13" xfId="0" applyNumberFormat="1" applyFont="1" applyFill="1" applyBorder="1"/>
    <xf numFmtId="0" fontId="7" fillId="0" borderId="10" xfId="0" applyFont="1" applyBorder="1"/>
    <xf numFmtId="164" fontId="28" fillId="2" borderId="9" xfId="0" applyNumberFormat="1" applyFont="1" applyFill="1" applyBorder="1"/>
    <xf numFmtId="165" fontId="28" fillId="2" borderId="9" xfId="0" applyNumberFormat="1" applyFont="1" applyFill="1" applyBorder="1"/>
    <xf numFmtId="164" fontId="28" fillId="2" borderId="2" xfId="0" applyNumberFormat="1" applyFont="1" applyFill="1" applyBorder="1"/>
    <xf numFmtId="165" fontId="28" fillId="2" borderId="2" xfId="0" applyNumberFormat="1" applyFont="1" applyFill="1" applyBorder="1"/>
    <xf numFmtId="165" fontId="28" fillId="2" borderId="1" xfId="0" applyNumberFormat="1" applyFont="1" applyFill="1" applyBorder="1"/>
    <xf numFmtId="0" fontId="0" fillId="0" borderId="0" xfId="0" quotePrefix="1"/>
    <xf numFmtId="0" fontId="5" fillId="10" borderId="0" xfId="0" applyFont="1" applyFill="1"/>
    <xf numFmtId="1" fontId="5" fillId="10" borderId="0" xfId="0" applyNumberFormat="1" applyFont="1" applyFill="1"/>
    <xf numFmtId="9" fontId="5" fillId="10" borderId="0" xfId="2" applyFont="1" applyFill="1"/>
    <xf numFmtId="1" fontId="5" fillId="10" borderId="0" xfId="2" applyNumberFormat="1" applyFont="1" applyFill="1"/>
    <xf numFmtId="165" fontId="5" fillId="10" borderId="0" xfId="1" applyNumberFormat="1" applyFont="1" applyFill="1"/>
    <xf numFmtId="165" fontId="5" fillId="10" borderId="0" xfId="0" applyNumberFormat="1" applyFont="1" applyFill="1"/>
    <xf numFmtId="166" fontId="5" fillId="10" borderId="0" xfId="0" applyNumberFormat="1" applyFont="1" applyFill="1"/>
    <xf numFmtId="2" fontId="5" fillId="10" borderId="0" xfId="0" applyNumberFormat="1" applyFont="1" applyFill="1"/>
    <xf numFmtId="168" fontId="5" fillId="10" borderId="0" xfId="0" applyNumberFormat="1" applyFont="1" applyFill="1"/>
    <xf numFmtId="167" fontId="5" fillId="10" borderId="0" xfId="2" applyNumberFormat="1" applyFont="1" applyFill="1"/>
    <xf numFmtId="166" fontId="3" fillId="10" borderId="0" xfId="0" applyNumberFormat="1" applyFont="1" applyFill="1"/>
    <xf numFmtId="1" fontId="3" fillId="10" borderId="0" xfId="0" applyNumberFormat="1" applyFont="1" applyFill="1"/>
    <xf numFmtId="44" fontId="0" fillId="0" borderId="0" xfId="0" applyNumberFormat="1"/>
    <xf numFmtId="0" fontId="25" fillId="0" borderId="0" xfId="0" applyFont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6" fillId="0" borderId="12" xfId="3" applyFont="1" applyBorder="1" applyAlignment="1">
      <alignment horizontal="center" vertical="center" wrapText="1"/>
    </xf>
    <xf numFmtId="0" fontId="26" fillId="0" borderId="11" xfId="3" applyFont="1" applyBorder="1" applyAlignment="1">
      <alignment horizontal="center" vertical="center" wrapText="1"/>
    </xf>
    <xf numFmtId="0" fontId="26" fillId="0" borderId="10" xfId="3" applyFont="1" applyBorder="1" applyAlignment="1">
      <alignment horizontal="center" vertical="center" wrapText="1"/>
    </xf>
    <xf numFmtId="0" fontId="26" fillId="0" borderId="49" xfId="3" applyFont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6" fillId="0" borderId="48" xfId="3" applyFont="1" applyBorder="1" applyAlignment="1">
      <alignment horizontal="center" vertical="center" wrapText="1"/>
    </xf>
    <xf numFmtId="0" fontId="26" fillId="0" borderId="4" xfId="3" applyFont="1" applyBorder="1" applyAlignment="1">
      <alignment horizontal="center" vertical="center" wrapText="1"/>
    </xf>
    <xf numFmtId="0" fontId="26" fillId="0" borderId="1" xfId="3" applyFont="1" applyBorder="1" applyAlignment="1">
      <alignment horizontal="center" vertical="center" wrapText="1"/>
    </xf>
    <xf numFmtId="0" fontId="26" fillId="0" borderId="3" xfId="3" applyFont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/>
    </xf>
    <xf numFmtId="0" fontId="27" fillId="3" borderId="6" xfId="3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indent="2"/>
    </xf>
    <xf numFmtId="0" fontId="7" fillId="0" borderId="44" xfId="0" applyFont="1" applyBorder="1" applyAlignment="1">
      <alignment horizontal="left" indent="2"/>
    </xf>
    <xf numFmtId="0" fontId="7" fillId="0" borderId="17" xfId="0" applyFont="1" applyBorder="1" applyAlignment="1">
      <alignment horizontal="left" indent="2"/>
    </xf>
    <xf numFmtId="0" fontId="7" fillId="0" borderId="22" xfId="0" applyFont="1" applyBorder="1" applyAlignment="1">
      <alignment horizontal="left" indent="2"/>
    </xf>
    <xf numFmtId="0" fontId="7" fillId="0" borderId="24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3" xfId="0" applyFont="1" applyBorder="1" applyAlignment="1">
      <alignment horizontal="left" indent="2"/>
    </xf>
    <xf numFmtId="0" fontId="7" fillId="0" borderId="47" xfId="0" applyFont="1" applyBorder="1" applyAlignment="1">
      <alignment horizontal="left" indent="2"/>
    </xf>
    <xf numFmtId="0" fontId="7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0" xfId="0" applyFont="1" applyBorder="1" applyAlignment="1">
      <alignment horizontal="left" indent="2"/>
    </xf>
    <xf numFmtId="0" fontId="7" fillId="0" borderId="19" xfId="0" applyFont="1" applyBorder="1" applyAlignment="1">
      <alignment horizontal="left" indent="2"/>
    </xf>
    <xf numFmtId="0" fontId="28" fillId="0" borderId="37" xfId="0" applyFont="1" applyBorder="1" applyAlignment="1">
      <alignment horizontal="left"/>
    </xf>
    <xf numFmtId="0" fontId="28" fillId="0" borderId="36" xfId="0" applyFont="1" applyBorder="1" applyAlignment="1">
      <alignment horizontal="left"/>
    </xf>
    <xf numFmtId="0" fontId="28" fillId="0" borderId="33" xfId="0" applyFont="1" applyBorder="1" applyAlignment="1">
      <alignment horizontal="left"/>
    </xf>
    <xf numFmtId="0" fontId="28" fillId="0" borderId="32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7" fillId="0" borderId="16" xfId="0" applyFont="1" applyBorder="1" applyAlignment="1">
      <alignment horizontal="left" indent="2"/>
    </xf>
    <xf numFmtId="0" fontId="7" fillId="0" borderId="26" xfId="0" applyFont="1" applyBorder="1" applyAlignment="1">
      <alignment horizontal="left" indent="2"/>
    </xf>
    <xf numFmtId="0" fontId="28" fillId="0" borderId="12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5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9">
    <cellStyle name="40% - Accent2" xfId="6" builtinId="35"/>
    <cellStyle name="40% - Accent5" xfId="7" builtinId="47"/>
    <cellStyle name="40% - Accent6" xfId="8" builtinId="51"/>
    <cellStyle name="Comma" xfId="4" builtinId="3"/>
    <cellStyle name="Currency" xfId="1" builtinId="4"/>
    <cellStyle name="Input" xfId="5" builtinId="20"/>
    <cellStyle name="Normal" xfId="0" builtinId="0"/>
    <cellStyle name="Percent" xfId="2" builtinId="5"/>
    <cellStyle name="Title" xfId="3" builtinId="1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</dxf>
    <dxf>
      <font>
        <color rgb="FF9C0006"/>
      </font>
    </dxf>
    <dxf>
      <font>
        <color theme="9" tint="-0.499984740745262"/>
      </font>
    </dxf>
    <dxf>
      <font>
        <color rgb="FF9C0006"/>
      </font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107213870993399"/>
          <c:y val="2.8423670878349509E-2"/>
          <c:w val="0.80165507436570427"/>
          <c:h val="0.898148148148148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'Dashboard Data'!$B$1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'Dashboard Data'!$B$2</c:f>
              <c:numCache>
                <c:formatCode>"$"#,##0.00</c:formatCode>
                <c:ptCount val="1"/>
                <c:pt idx="0">
                  <c:v>182629.26136363635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C-41FA-8416-93DC16B2A09E}"/>
            </c:ext>
          </c:extLst>
        </c:ser>
        <c:ser>
          <c:idx val="1"/>
          <c:order val="1"/>
          <c:tx>
            <c:strRef>
              <c:f>'Dashboard Data'!$C$1</c:f>
              <c:strCache>
                <c:ptCount val="1"/>
                <c:pt idx="0">
                  <c:v>Variable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val>
            <c:numRef>
              <c:f>'Dashboard Data'!$C$2</c:f>
              <c:numCache>
                <c:formatCode>"$"#,##0.00</c:formatCode>
                <c:ptCount val="1"/>
                <c:pt idx="0">
                  <c:v>170568.06319459129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0C-41FA-8416-93DC16B2A09E}"/>
            </c:ext>
          </c:extLst>
        </c:ser>
        <c:ser>
          <c:idx val="2"/>
          <c:order val="2"/>
          <c:tx>
            <c:strRef>
              <c:f>'Dashboard Data'!$D$1</c:f>
              <c:strCache>
                <c:ptCount val="1"/>
                <c:pt idx="0">
                  <c:v>Fixed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'Dashboard Data'!$D$2</c:f>
              <c:numCache>
                <c:formatCode>_("$"* #,##0.00_);_("$"* \(#,##0.00\);_("$"* "-"??_);_(@_)</c:formatCode>
                <c:ptCount val="1"/>
                <c:pt idx="0">
                  <c:v>19625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0C-41FA-8416-93DC16B2A09E}"/>
            </c:ext>
          </c:extLst>
        </c:ser>
        <c:ser>
          <c:idx val="3"/>
          <c:order val="3"/>
          <c:tx>
            <c:strRef>
              <c:f>'Dashboard Data'!$E$1</c:f>
              <c:strCache>
                <c:ptCount val="1"/>
                <c:pt idx="0">
                  <c:v>Return over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'Dashboard Data'!$E$2</c:f>
              <c:numCache>
                <c:formatCode>"$"#,##0.00</c:formatCode>
                <c:ptCount val="1"/>
                <c:pt idx="0">
                  <c:v>-7563.801830954937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0C-41FA-8416-93DC16B2A0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1088330992"/>
        <c:axId val="1088331408"/>
        <c:axId val="0"/>
      </c:bar3DChart>
      <c:catAx>
        <c:axId val="10883309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088331408"/>
        <c:crosses val="autoZero"/>
        <c:auto val="1"/>
        <c:lblAlgn val="ctr"/>
        <c:lblOffset val="100"/>
        <c:noMultiLvlLbl val="0"/>
      </c:catAx>
      <c:valAx>
        <c:axId val="108833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33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471343354807921"/>
          <c:y val="0.1443789293780138"/>
          <c:w val="0.16356939473474907"/>
          <c:h val="0.26162973814319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EF1-496D-9F51-873CDD801B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F1-496D-9F51-873CDD801B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'Dashboard Data'!$B$6:$C$6</c:f>
              <c:strCache>
                <c:ptCount val="2"/>
                <c:pt idx="0">
                  <c:v>Feed Cost</c:v>
                </c:pt>
                <c:pt idx="1">
                  <c:v>Hay Cost</c:v>
                </c:pt>
              </c:strCache>
            </c:strRef>
          </c:cat>
          <c:val>
            <c:numRef>
              <c:f>'Dashboard Data'!$B$7:$C$7</c:f>
              <c:numCache>
                <c:formatCode>_("$"* #,##0.00_);_("$"* \(#,##0.00\);_("$"* "-"??_);_(@_)</c:formatCode>
                <c:ptCount val="2"/>
                <c:pt idx="0">
                  <c:v>260.55913061212124</c:v>
                </c:pt>
                <c:pt idx="1">
                  <c:v>160.85211999999999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1-496D-9F51-873CDD801B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'Dashboard Data'!$A$3</c:f>
              <c:strCache>
                <c:ptCount val="1"/>
                <c:pt idx="0">
                  <c:v>Per Head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'Dashboard Data'!$B$1:$E$1</c:f>
              <c:strCache>
                <c:ptCount val="4"/>
                <c:pt idx="0">
                  <c:v>Revenue</c:v>
                </c:pt>
                <c:pt idx="1">
                  <c:v>Variable Costs</c:v>
                </c:pt>
                <c:pt idx="2">
                  <c:v>Fixed Costs</c:v>
                </c:pt>
                <c:pt idx="3">
                  <c:v>Return over Costs</c:v>
                </c:pt>
              </c:strCache>
            </c:strRef>
          </c:cat>
          <c:val>
            <c:numRef>
              <c:f>'Dashboard Data'!$B$3:$E$3</c:f>
              <c:numCache>
                <c:formatCode>"$"#,##0.00</c:formatCode>
                <c:ptCount val="4"/>
                <c:pt idx="0">
                  <c:v>730.5170454545455</c:v>
                </c:pt>
                <c:pt idx="1">
                  <c:v>682.27225277836533</c:v>
                </c:pt>
                <c:pt idx="2">
                  <c:v>78.5</c:v>
                </c:pt>
                <c:pt idx="3">
                  <c:v>-30.255207323819832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D-4C57-BB4C-A6E9BFF4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4506112"/>
        <c:axId val="97450777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'Dashboard Data'!$A$2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'Dashboard Data'!$B$1:$E$1</c15:sqref>
                        </c15:formulaRef>
                      </c:ext>
                    </c:extLst>
                    <c:strCache>
                      <c:ptCount val="4"/>
                      <c:pt idx="0">
                        <c:v>Revenue</c:v>
                      </c:pt>
                      <c:pt idx="1">
                        <c:v>Variable Costs</c:v>
                      </c:pt>
                      <c:pt idx="2">
                        <c:v>Fixed Costs</c:v>
                      </c:pt>
                      <c:pt idx="3">
                        <c:v>Return over Costs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'Dashboard Data'!$B$2:$E$2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0">
                        <c:v>182629.26136363635</c:v>
                      </c:pt>
                      <c:pt idx="1">
                        <c:v>170568.06319459129</c:v>
                      </c:pt>
                      <c:pt idx="2" formatCode="_(&quot;$&quot;* #,##0.00_);_(&quot;$&quot;* \(#,##0.00\);_(&quot;$&quot;* &quot;-&quot;??_);_(@_)">
                        <c:v>19625</c:v>
                      </c:pt>
                      <c:pt idx="3">
                        <c:v>-7563.801830954937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3FD-4C57-BB4C-A6E9BFF48797}"/>
                  </c:ext>
                </c:extLst>
              </c15:ser>
            </c15:filteredBarSeries>
          </c:ext>
        </c:extLst>
      </c:bar3DChart>
      <c:catAx>
        <c:axId val="97450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507776"/>
        <c:crosses val="autoZero"/>
        <c:auto val="1"/>
        <c:lblAlgn val="ctr"/>
        <c:lblOffset val="100"/>
        <c:noMultiLvlLbl val="0"/>
      </c:catAx>
      <c:valAx>
        <c:axId val="97450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50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'Dashboard Data'!$B$10</c:f>
              <c:strCache>
                <c:ptCount val="1"/>
                <c:pt idx="0">
                  <c:v>Steers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'Dashboard Data'!$C$9:$G$9</c15:sqref>
                  </c15:fullRef>
                </c:ext>
              </c:extLst>
              <c:f>'Dashboard Data'!$G$9</c:f>
              <c:strCache>
                <c:ptCount val="1"/>
                <c:pt idx="0">
                  <c:v>Cost of Gain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'Dashboard Data'!$C$10:$G$10</c15:sqref>
                  </c15:fullRef>
                </c:ext>
              </c:extLst>
              <c:f>'Dashboard Data'!$G$10</c:f>
              <c:numCache>
                <c:formatCode>General</c:formatCode>
                <c:ptCount val="1"/>
                <c:pt idx="0" formatCode="&quot;$&quot;#,##0.00">
                  <c:v>1.6186643676135433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A-45D0-9314-EBD4BD855C97}"/>
            </c:ext>
          </c:extLst>
        </c:ser>
        <c:ser>
          <c:idx val="1"/>
          <c:order val="1"/>
          <c:tx>
            <c:strRef>
              <c:f>'Dashboard Data'!$B$11</c:f>
              <c:strCache>
                <c:ptCount val="1"/>
                <c:pt idx="0">
                  <c:v>Heifers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'Dashboard Data'!$C$9:$G$9</c15:sqref>
                  </c15:fullRef>
                </c:ext>
              </c:extLst>
              <c:f>'Dashboard Data'!$G$9</c:f>
              <c:strCache>
                <c:ptCount val="1"/>
                <c:pt idx="0">
                  <c:v>Cost of Gain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'Dashboard Data'!$C$11:$G$11</c15:sqref>
                  </c15:fullRef>
                </c:ext>
              </c:extLst>
              <c:f>'Dashboard Data'!$G$11</c:f>
              <c:numCache>
                <c:formatCode>General</c:formatCode>
                <c:ptCount val="1"/>
                <c:pt idx="0" formatCode="&quot;$&quot;#,##0.00">
                  <c:v>1.8113625066151555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A-45D0-9314-EBD4BD855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2795776"/>
        <c:axId val="972792864"/>
      </c:barChart>
      <c:catAx>
        <c:axId val="97279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792864"/>
        <c:crosses val="autoZero"/>
        <c:auto val="1"/>
        <c:lblAlgn val="ctr"/>
        <c:lblOffset val="100"/>
        <c:noMultiLvlLbl val="0"/>
      </c:catAx>
      <c:valAx>
        <c:axId val="9727928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97279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222168</xdr:colOff>
      <xdr:row>1</xdr:row>
      <xdr:rowOff>28576</xdr:rowOff>
    </xdr:from>
    <xdr:ext cx="2044782" cy="850468"/>
    <xdr:pic>
      <xdr:nvPicPr>
        <xdr:cNvPr id="2" name="Picture 1">
          <a:extLst>
            <a:ext uri="{FF2B5EF4-FFF2-40B4-BE49-F238E27FC236}">
              <a16:creationId xmlns:a16="http://schemas.microsoft.com/office/drawing/2014/main" id="{663A0093-EB84-470C-B0D1-EF72FC2C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3768" y="209551"/>
          <a:ext cx="2044782" cy="850468"/>
        </a:xfrm>
        <a:prstGeom prst="rect">
          <a:avLst/>
        </a:prstGeom>
      </xdr:spPr>
    </xdr:pic>
    <xdr:clientData/>
  </xdr:oneCellAnchor>
  <xdr:twoCellAnchor>
    <xdr:from>
      <xdr:col>5</xdr:col>
      <xdr:colOff>419099</xdr:colOff>
      <xdr:row>4</xdr:row>
      <xdr:rowOff>28578</xdr:rowOff>
    </xdr:from>
    <xdr:to>
      <xdr:col>5</xdr:col>
      <xdr:colOff>552450</xdr:colOff>
      <xdr:row>4</xdr:row>
      <xdr:rowOff>161925</xdr:rowOff>
    </xdr:to>
    <xdr:sp macro="" textlink="">
      <xdr:nvSpPr>
        <xdr:cNvPr id="3" name="Right Triangle 2">
          <a:extLst>
            <a:ext uri="{FF2B5EF4-FFF2-40B4-BE49-F238E27FC236}">
              <a16:creationId xmlns:a16="http://schemas.microsoft.com/office/drawing/2014/main" id="{D49AA351-D762-496D-931A-0F52386D948E}"/>
            </a:ext>
          </a:extLst>
        </xdr:cNvPr>
        <xdr:cNvSpPr/>
      </xdr:nvSpPr>
      <xdr:spPr>
        <a:xfrm rot="5400000" flipV="1">
          <a:off x="3657601" y="752476"/>
          <a:ext cx="133347" cy="133351"/>
        </a:xfrm>
        <a:prstGeom prst="rt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10</xdr:col>
      <xdr:colOff>352425</xdr:colOff>
      <xdr:row>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FDFB0D-5E4D-44A5-B890-DC5EA54305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0</xdr:row>
      <xdr:rowOff>90487</xdr:rowOff>
    </xdr:from>
    <xdr:to>
      <xdr:col>19</xdr:col>
      <xdr:colOff>295275</xdr:colOff>
      <xdr:row>17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723238-AAC6-45E4-8338-6719B2142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185736</xdr:colOff>
      <xdr:row>18</xdr:row>
      <xdr:rowOff>4761</xdr:rowOff>
    </xdr:from>
    <xdr:to>
      <xdr:col>10</xdr:col>
      <xdr:colOff>342899</xdr:colOff>
      <xdr:row>33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5C870B-5CA8-4394-BF23-4B02F7A051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595312</xdr:colOff>
      <xdr:row>18</xdr:row>
      <xdr:rowOff>23812</xdr:rowOff>
    </xdr:from>
    <xdr:to>
      <xdr:col>19</xdr:col>
      <xdr:colOff>323850</xdr:colOff>
      <xdr:row>33</xdr:row>
      <xdr:rowOff>133350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FDA5C183-A9BF-4D22-B58C-D8D3B331DA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2:N34"/>
  <sheetViews>
    <sheetView workbookViewId="0">
      <selection sqref="A1:XFD1048576"/>
    </sheetView>
  </sheetViews>
  <sheetFormatPr defaultRowHeight="15" x14ac:dyDescent="0.25"/>
  <cols>
    <col min="4" max="4" width="40.7109375" customWidth="1"/>
    <col min="5" max="5" width="45.7109375" customWidth="1"/>
    <col min="8" max="8" width="60.7109375" customWidth="1"/>
    <col min="9" max="9" width="20.7109375" customWidth="1"/>
  </cols>
  <sheetData>
    <row r="2" spans="4:14" ht="16.5" thickBot="1" x14ac:dyDescent="0.3">
      <c r="D2" s="15" t="s">
        <v>95</v>
      </c>
      <c r="E2" s="15" t="s">
        <v>94</v>
      </c>
      <c r="H2" s="14" t="s">
        <v>93</v>
      </c>
      <c r="I2" s="13"/>
      <c r="L2" s="193" t="s">
        <v>247</v>
      </c>
      <c r="M2" s="193"/>
    </row>
    <row r="3" spans="4:14" x14ac:dyDescent="0.25">
      <c r="D3" s="12" t="s">
        <v>92</v>
      </c>
      <c r="E3" s="12" t="s">
        <v>248</v>
      </c>
      <c r="H3" s="12" t="s">
        <v>91</v>
      </c>
      <c r="I3" s="92">
        <v>75</v>
      </c>
      <c r="K3" s="194" t="s">
        <v>249</v>
      </c>
      <c r="L3" s="195"/>
      <c r="M3" s="195"/>
      <c r="N3" s="196"/>
    </row>
    <row r="4" spans="4:14" x14ac:dyDescent="0.25">
      <c r="D4" s="12" t="s">
        <v>90</v>
      </c>
      <c r="E4" s="12" t="s">
        <v>250</v>
      </c>
      <c r="H4" s="12" t="s">
        <v>89</v>
      </c>
      <c r="I4" s="93">
        <v>0.9</v>
      </c>
      <c r="K4" s="197"/>
      <c r="L4" s="198"/>
      <c r="M4" s="198"/>
      <c r="N4" s="199"/>
    </row>
    <row r="5" spans="4:14" x14ac:dyDescent="0.25">
      <c r="D5" s="12" t="s">
        <v>88</v>
      </c>
      <c r="E5" s="12" t="s">
        <v>251</v>
      </c>
      <c r="H5" s="12" t="s">
        <v>87</v>
      </c>
      <c r="I5" s="93">
        <v>0.02</v>
      </c>
      <c r="K5" s="197"/>
      <c r="L5" s="198"/>
      <c r="M5" s="198"/>
      <c r="N5" s="199"/>
    </row>
    <row r="6" spans="4:14" x14ac:dyDescent="0.25">
      <c r="D6" s="12" t="s">
        <v>86</v>
      </c>
      <c r="E6" s="12" t="s">
        <v>85</v>
      </c>
      <c r="H6" s="12" t="s">
        <v>84</v>
      </c>
      <c r="I6" s="92"/>
      <c r="K6" s="197"/>
      <c r="L6" s="198"/>
      <c r="M6" s="198"/>
      <c r="N6" s="199"/>
    </row>
    <row r="7" spans="4:14" x14ac:dyDescent="0.25">
      <c r="D7" s="12" t="s">
        <v>83</v>
      </c>
      <c r="E7" s="12" t="s">
        <v>82</v>
      </c>
      <c r="H7" s="12" t="s">
        <v>81</v>
      </c>
      <c r="I7" s="94">
        <v>0.1</v>
      </c>
      <c r="K7" s="197"/>
      <c r="L7" s="198"/>
      <c r="M7" s="198"/>
      <c r="N7" s="199"/>
    </row>
    <row r="8" spans="4:14" x14ac:dyDescent="0.25">
      <c r="D8" s="12" t="s">
        <v>80</v>
      </c>
      <c r="E8" s="12" t="s">
        <v>252</v>
      </c>
      <c r="H8" s="12" t="s">
        <v>79</v>
      </c>
      <c r="I8" s="93">
        <v>0.33</v>
      </c>
      <c r="K8" s="197"/>
      <c r="L8" s="198"/>
      <c r="M8" s="198"/>
      <c r="N8" s="199"/>
    </row>
    <row r="9" spans="4:14" x14ac:dyDescent="0.25">
      <c r="D9" s="12" t="s">
        <v>78</v>
      </c>
      <c r="E9" s="12" t="s">
        <v>251</v>
      </c>
      <c r="H9" s="12" t="s">
        <v>77</v>
      </c>
      <c r="I9" s="92"/>
      <c r="K9" s="197"/>
      <c r="L9" s="198"/>
      <c r="M9" s="198"/>
      <c r="N9" s="199"/>
    </row>
    <row r="10" spans="4:14" x14ac:dyDescent="0.25">
      <c r="D10" s="12" t="s">
        <v>76</v>
      </c>
      <c r="E10" s="12" t="s">
        <v>253</v>
      </c>
      <c r="H10" s="12" t="s">
        <v>75</v>
      </c>
      <c r="I10" s="92"/>
      <c r="K10" s="197"/>
      <c r="L10" s="198"/>
      <c r="M10" s="198"/>
      <c r="N10" s="199"/>
    </row>
    <row r="11" spans="4:14" x14ac:dyDescent="0.25">
      <c r="D11" s="12" t="s">
        <v>74</v>
      </c>
      <c r="E11" s="12" t="s">
        <v>254</v>
      </c>
      <c r="H11" s="12" t="s">
        <v>73</v>
      </c>
      <c r="I11" s="92">
        <v>25</v>
      </c>
      <c r="K11" s="197"/>
      <c r="L11" s="198"/>
      <c r="M11" s="198"/>
      <c r="N11" s="199"/>
    </row>
    <row r="12" spans="4:14" ht="15.75" thickBot="1" x14ac:dyDescent="0.3">
      <c r="H12" s="12" t="s">
        <v>72</v>
      </c>
      <c r="I12" s="92">
        <v>3</v>
      </c>
      <c r="K12" s="200"/>
      <c r="L12" s="201"/>
      <c r="M12" s="201"/>
      <c r="N12" s="202"/>
    </row>
    <row r="13" spans="4:14" x14ac:dyDescent="0.25">
      <c r="H13" s="14" t="s">
        <v>71</v>
      </c>
      <c r="I13" s="14" t="s">
        <v>70</v>
      </c>
    </row>
    <row r="14" spans="4:14" x14ac:dyDescent="0.25">
      <c r="H14" s="12" t="s">
        <v>69</v>
      </c>
      <c r="I14" s="92">
        <v>2</v>
      </c>
    </row>
    <row r="15" spans="4:14" x14ac:dyDescent="0.25">
      <c r="H15" s="12" t="s">
        <v>59</v>
      </c>
      <c r="I15" s="92">
        <v>1.5</v>
      </c>
    </row>
    <row r="16" spans="4:14" x14ac:dyDescent="0.25">
      <c r="H16" s="12" t="s">
        <v>61</v>
      </c>
      <c r="I16" s="92">
        <v>3</v>
      </c>
    </row>
    <row r="17" spans="2:9" x14ac:dyDescent="0.25">
      <c r="H17" s="12" t="s">
        <v>68</v>
      </c>
      <c r="I17" s="92">
        <v>3</v>
      </c>
    </row>
    <row r="18" spans="2:9" x14ac:dyDescent="0.25">
      <c r="H18" s="12" t="s">
        <v>67</v>
      </c>
      <c r="I18" s="92">
        <v>5.5</v>
      </c>
    </row>
    <row r="19" spans="2:9" x14ac:dyDescent="0.25">
      <c r="H19" s="12" t="s">
        <v>66</v>
      </c>
      <c r="I19" s="92">
        <v>4.5</v>
      </c>
    </row>
    <row r="20" spans="2:9" x14ac:dyDescent="0.25">
      <c r="H20" s="12" t="s">
        <v>65</v>
      </c>
      <c r="I20" s="92">
        <v>3</v>
      </c>
    </row>
    <row r="21" spans="2:9" x14ac:dyDescent="0.25">
      <c r="H21" s="14" t="s">
        <v>64</v>
      </c>
      <c r="I21" s="13"/>
    </row>
    <row r="22" spans="2:9" x14ac:dyDescent="0.25">
      <c r="H22" s="12" t="s">
        <v>63</v>
      </c>
      <c r="I22" s="92">
        <v>150</v>
      </c>
    </row>
    <row r="23" spans="2:9" x14ac:dyDescent="0.25">
      <c r="H23" s="12" t="s">
        <v>62</v>
      </c>
      <c r="I23" s="92">
        <v>5</v>
      </c>
    </row>
    <row r="24" spans="2:9" x14ac:dyDescent="0.25">
      <c r="H24" s="12" t="s">
        <v>60</v>
      </c>
      <c r="I24" s="95"/>
    </row>
    <row r="25" spans="2:9" x14ac:dyDescent="0.25">
      <c r="H25" s="12" t="s">
        <v>59</v>
      </c>
      <c r="I25" s="92"/>
    </row>
    <row r="26" spans="2:9" x14ac:dyDescent="0.25">
      <c r="H26" s="12" t="s">
        <v>255</v>
      </c>
      <c r="I26" s="92">
        <v>3</v>
      </c>
    </row>
    <row r="27" spans="2:9" x14ac:dyDescent="0.25">
      <c r="B27">
        <f>75*0.02</f>
        <v>1.5</v>
      </c>
      <c r="H27" s="12" t="s">
        <v>58</v>
      </c>
      <c r="I27" s="96">
        <v>9</v>
      </c>
    </row>
    <row r="28" spans="2:9" x14ac:dyDescent="0.25">
      <c r="H28" s="14" t="s">
        <v>57</v>
      </c>
      <c r="I28" s="13"/>
    </row>
    <row r="29" spans="2:9" x14ac:dyDescent="0.25">
      <c r="H29" s="12" t="s">
        <v>56</v>
      </c>
      <c r="I29" s="92"/>
    </row>
    <row r="30" spans="2:9" x14ac:dyDescent="0.25">
      <c r="H30" s="12" t="s">
        <v>55</v>
      </c>
      <c r="I30" s="92"/>
    </row>
    <row r="31" spans="2:9" x14ac:dyDescent="0.25">
      <c r="H31" s="12" t="s">
        <v>54</v>
      </c>
      <c r="I31" s="92"/>
    </row>
    <row r="32" spans="2:9" x14ac:dyDescent="0.25">
      <c r="H32" s="12" t="s">
        <v>53</v>
      </c>
      <c r="I32" s="92"/>
    </row>
    <row r="33" spans="8:9" x14ac:dyDescent="0.25">
      <c r="H33" s="12" t="s">
        <v>52</v>
      </c>
      <c r="I33" s="92"/>
    </row>
    <row r="34" spans="8:9" x14ac:dyDescent="0.25">
      <c r="H34" s="12" t="s">
        <v>51</v>
      </c>
      <c r="I34" s="92"/>
    </row>
  </sheetData>
  <mergeCells count="2">
    <mergeCell ref="L2:M2"/>
    <mergeCell ref="K3:N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927C-9838-4F88-8F26-4798894D76F2}">
  <sheetPr codeName="Sheet2"/>
  <dimension ref="A1:B1"/>
  <sheetViews>
    <sheetView workbookViewId="0"/>
  </sheetViews>
  <sheetFormatPr defaultRowHeight="15" x14ac:dyDescent="0.25"/>
  <sheetData>
    <row r="1" spans="1:2" x14ac:dyDescent="0.25">
      <c r="A1" s="179" t="s">
        <v>264</v>
      </c>
      <c r="B1" s="179" t="s">
        <v>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8"/>
    <pageSetUpPr fitToPage="1"/>
  </sheetPr>
  <dimension ref="B1:K49"/>
  <sheetViews>
    <sheetView tabSelected="1" workbookViewId="0">
      <selection activeCell="Q7" sqref="Q7"/>
    </sheetView>
  </sheetViews>
  <sheetFormatPr defaultRowHeight="15" x14ac:dyDescent="0.25"/>
  <cols>
    <col min="2" max="2" width="43" customWidth="1"/>
    <col min="3" max="3" width="7.7109375" bestFit="1" customWidth="1"/>
    <col min="4" max="4" width="5.7109375" bestFit="1" customWidth="1"/>
    <col min="5" max="5" width="14" bestFit="1" customWidth="1"/>
    <col min="6" max="6" width="11.28515625" bestFit="1" customWidth="1"/>
    <col min="7" max="7" width="17.7109375" bestFit="1" customWidth="1"/>
    <col min="8" max="8" width="12.7109375" bestFit="1" customWidth="1"/>
    <col min="9" max="9" width="20.42578125" bestFit="1" customWidth="1"/>
    <col min="10" max="10" width="12.5703125" bestFit="1" customWidth="1"/>
  </cols>
  <sheetData>
    <row r="1" spans="2:11" ht="15.75" thickBot="1" x14ac:dyDescent="0.3"/>
    <row r="2" spans="2:11" ht="23.25" customHeight="1" thickBot="1" x14ac:dyDescent="0.3">
      <c r="B2" s="203" t="s">
        <v>265</v>
      </c>
      <c r="C2" s="204"/>
      <c r="D2" s="205"/>
      <c r="E2" s="1"/>
      <c r="F2" s="1"/>
      <c r="G2" s="1"/>
      <c r="H2" s="1"/>
      <c r="I2" s="1"/>
    </row>
    <row r="3" spans="2:11" ht="21.95" customHeight="1" x14ac:dyDescent="0.25">
      <c r="B3" s="206"/>
      <c r="C3" s="207"/>
      <c r="D3" s="208"/>
      <c r="E3" s="1"/>
      <c r="F3" s="98"/>
      <c r="G3" s="99" t="s">
        <v>50</v>
      </c>
      <c r="H3" s="1"/>
      <c r="I3" s="1"/>
    </row>
    <row r="4" spans="2:11" ht="21.95" customHeight="1" thickBot="1" x14ac:dyDescent="0.3">
      <c r="B4" s="209"/>
      <c r="C4" s="210"/>
      <c r="D4" s="211"/>
      <c r="E4" s="1"/>
      <c r="F4" s="100"/>
      <c r="G4" s="101" t="s">
        <v>49</v>
      </c>
      <c r="H4" s="1"/>
      <c r="I4" s="1"/>
    </row>
    <row r="5" spans="2:11" ht="21.95" customHeight="1" thickBot="1" x14ac:dyDescent="0.3">
      <c r="B5" s="102" t="s">
        <v>48</v>
      </c>
      <c r="C5" s="212">
        <f>'Budget Inputs'!C2</f>
        <v>250</v>
      </c>
      <c r="D5" s="213"/>
      <c r="E5" s="1"/>
      <c r="F5" s="103"/>
      <c r="G5" s="104" t="s">
        <v>47</v>
      </c>
      <c r="H5" s="1"/>
      <c r="I5" s="105" t="s">
        <v>282</v>
      </c>
    </row>
    <row r="6" spans="2:11" ht="16.5" thickBot="1" x14ac:dyDescent="0.3">
      <c r="B6" s="1"/>
      <c r="C6" s="1"/>
      <c r="D6" s="1"/>
      <c r="E6" s="1"/>
      <c r="F6" s="1"/>
      <c r="G6" s="1"/>
      <c r="H6" s="1"/>
      <c r="I6" s="1"/>
    </row>
    <row r="7" spans="2:11" ht="15.75" x14ac:dyDescent="0.25">
      <c r="B7" s="106" t="s">
        <v>46</v>
      </c>
      <c r="C7" s="10"/>
      <c r="D7" s="10"/>
      <c r="E7" s="10"/>
      <c r="F7" s="10"/>
      <c r="G7" s="10"/>
      <c r="H7" s="10"/>
      <c r="I7" s="11"/>
    </row>
    <row r="8" spans="2:11" ht="63.75" thickBot="1" x14ac:dyDescent="0.3">
      <c r="B8" s="107" t="s">
        <v>45</v>
      </c>
      <c r="C8" s="108" t="s">
        <v>44</v>
      </c>
      <c r="D8" s="108" t="s">
        <v>36</v>
      </c>
      <c r="E8" s="108" t="s">
        <v>35</v>
      </c>
      <c r="F8" s="108" t="s">
        <v>266</v>
      </c>
      <c r="G8" s="109" t="s">
        <v>267</v>
      </c>
      <c r="H8" s="110" t="s">
        <v>34</v>
      </c>
      <c r="I8" s="111" t="s">
        <v>33</v>
      </c>
    </row>
    <row r="9" spans="2:11" ht="15.75" x14ac:dyDescent="0.25">
      <c r="B9" s="112" t="s">
        <v>43</v>
      </c>
      <c r="C9" s="113">
        <f>'Budget Inputs'!C19</f>
        <v>550</v>
      </c>
      <c r="D9" s="114" t="s">
        <v>24</v>
      </c>
      <c r="E9" s="115">
        <f>'Budget Inputs'!C18</f>
        <v>111.25</v>
      </c>
      <c r="F9" s="116">
        <v>1.75</v>
      </c>
      <c r="G9" s="117">
        <f>'Budget Inputs'!F9</f>
        <v>1.85</v>
      </c>
      <c r="H9" s="118">
        <f>C9*E9*G9</f>
        <v>113196.875</v>
      </c>
      <c r="I9" s="119">
        <f>H9/$C$5</f>
        <v>452.78750000000002</v>
      </c>
    </row>
    <row r="10" spans="2:11" ht="15.75" x14ac:dyDescent="0.25">
      <c r="B10" s="120" t="s">
        <v>42</v>
      </c>
      <c r="C10" s="121">
        <f>'Budget Inputs'!C21</f>
        <v>500</v>
      </c>
      <c r="D10" s="122" t="s">
        <v>24</v>
      </c>
      <c r="E10" s="123">
        <f>'Budget Inputs'!C20</f>
        <v>78.75</v>
      </c>
      <c r="F10" s="124">
        <v>1.65</v>
      </c>
      <c r="G10" s="125">
        <f>'Budget Inputs'!F10</f>
        <v>1.75</v>
      </c>
      <c r="H10" s="118">
        <f t="shared" ref="H10:H13" si="0">C10*E10*G10</f>
        <v>68906.25</v>
      </c>
      <c r="I10" s="119">
        <f>H10/$C$5</f>
        <v>275.625</v>
      </c>
    </row>
    <row r="11" spans="2:11" ht="15.75" x14ac:dyDescent="0.25">
      <c r="B11" s="126" t="s">
        <v>41</v>
      </c>
      <c r="C11" s="127">
        <f>'Budget Inputs'!C21</f>
        <v>500</v>
      </c>
      <c r="D11" s="128" t="s">
        <v>24</v>
      </c>
      <c r="E11" s="129">
        <f>-'Budget Inputs'!C10</f>
        <v>-32.5</v>
      </c>
      <c r="F11" s="130">
        <v>1.65</v>
      </c>
      <c r="G11" s="131">
        <f>'Budget Inputs'!F10</f>
        <v>1.75</v>
      </c>
      <c r="H11" s="118">
        <f t="shared" si="0"/>
        <v>-28437.5</v>
      </c>
      <c r="I11" s="119">
        <f>H11/$C$5</f>
        <v>-113.75</v>
      </c>
    </row>
    <row r="12" spans="2:11" ht="15.75" x14ac:dyDescent="0.25">
      <c r="B12" s="126" t="s">
        <v>40</v>
      </c>
      <c r="C12" s="127">
        <f>'Budget Inputs'!C15</f>
        <v>1100</v>
      </c>
      <c r="D12" s="128" t="s">
        <v>24</v>
      </c>
      <c r="E12" s="129">
        <f>'Budget Inputs'!C14</f>
        <v>25</v>
      </c>
      <c r="F12" s="130">
        <v>0.69</v>
      </c>
      <c r="G12" s="131">
        <f>'Budget Inputs'!F7</f>
        <v>1</v>
      </c>
      <c r="H12" s="118">
        <f t="shared" si="0"/>
        <v>27500</v>
      </c>
      <c r="I12" s="119">
        <f>H12/$C$5</f>
        <v>110</v>
      </c>
    </row>
    <row r="13" spans="2:11" ht="16.5" thickBot="1" x14ac:dyDescent="0.3">
      <c r="B13" s="132" t="s">
        <v>39</v>
      </c>
      <c r="C13" s="133">
        <f>'Budget Inputs'!C17</f>
        <v>1400</v>
      </c>
      <c r="D13" s="134" t="s">
        <v>24</v>
      </c>
      <c r="E13" s="135">
        <f>'Budget Inputs'!C16</f>
        <v>1.0454545454545454</v>
      </c>
      <c r="F13" s="136">
        <v>0.55000000000000004</v>
      </c>
      <c r="G13" s="137">
        <f>'Budget Inputs'!F8</f>
        <v>1</v>
      </c>
      <c r="H13" s="118">
        <f t="shared" si="0"/>
        <v>1463.6363636363635</v>
      </c>
      <c r="I13" s="119">
        <f>H13/$C$5</f>
        <v>5.8545454545454536</v>
      </c>
    </row>
    <row r="14" spans="2:11" ht="17.25" thickTop="1" thickBot="1" x14ac:dyDescent="0.3">
      <c r="B14" s="138" t="s">
        <v>38</v>
      </c>
      <c r="C14" s="9"/>
      <c r="D14" s="9"/>
      <c r="E14" s="9"/>
      <c r="F14" s="9"/>
      <c r="G14" s="8"/>
      <c r="H14" s="139">
        <f>SUM(H9,H10,H11,H12,H13)</f>
        <v>182629.26136363635</v>
      </c>
      <c r="I14" s="140">
        <f>SUM(I9:I13)</f>
        <v>730.5170454545455</v>
      </c>
      <c r="K14" s="192">
        <f>H14/250</f>
        <v>730.51704545454538</v>
      </c>
    </row>
    <row r="15" spans="2:11" ht="5.45" customHeight="1" thickBot="1" x14ac:dyDescent="0.3">
      <c r="B15" s="1"/>
      <c r="C15" s="1"/>
      <c r="D15" s="1"/>
      <c r="E15" s="1"/>
      <c r="F15" s="1"/>
      <c r="G15" s="1"/>
      <c r="H15" s="1"/>
      <c r="I15" s="1"/>
    </row>
    <row r="16" spans="2:11" ht="16.5" thickBot="1" x14ac:dyDescent="0.3">
      <c r="B16" s="106" t="s">
        <v>37</v>
      </c>
      <c r="C16" s="7"/>
      <c r="D16" s="7"/>
      <c r="E16" s="7"/>
      <c r="F16" s="7"/>
      <c r="G16" s="6"/>
      <c r="H16" s="5"/>
      <c r="I16" s="4"/>
    </row>
    <row r="17" spans="2:9" ht="63.75" thickBot="1" x14ac:dyDescent="0.3">
      <c r="B17" s="220"/>
      <c r="C17" s="221"/>
      <c r="D17" s="111" t="s">
        <v>36</v>
      </c>
      <c r="E17" s="111" t="s">
        <v>35</v>
      </c>
      <c r="F17" s="111" t="str">
        <f>F8</f>
        <v>2021 Avg. Price/Unit</v>
      </c>
      <c r="G17" s="111" t="str">
        <f>G8</f>
        <v>2022 Proj. Price/Unit</v>
      </c>
      <c r="H17" s="141" t="s">
        <v>34</v>
      </c>
      <c r="I17" s="108" t="s">
        <v>33</v>
      </c>
    </row>
    <row r="18" spans="2:9" ht="16.5" thickBot="1" x14ac:dyDescent="0.3">
      <c r="B18" s="222" t="s">
        <v>32</v>
      </c>
      <c r="C18" s="223"/>
      <c r="D18" s="3"/>
      <c r="E18" s="3"/>
      <c r="F18" s="3"/>
      <c r="G18" s="2"/>
      <c r="H18" s="224"/>
      <c r="I18" s="225"/>
    </row>
    <row r="19" spans="2:9" ht="15.75" x14ac:dyDescent="0.25">
      <c r="B19" s="226" t="s">
        <v>31</v>
      </c>
      <c r="C19" s="227"/>
      <c r="D19" s="114" t="s">
        <v>22</v>
      </c>
      <c r="E19" s="142">
        <f>'Production Calendar'!N14</f>
        <v>201.06515000000002</v>
      </c>
      <c r="F19" s="116">
        <v>225</v>
      </c>
      <c r="G19" s="117">
        <f>'Budget Inputs'!F12</f>
        <v>200</v>
      </c>
      <c r="H19" s="143">
        <f>'Production Calendar'!N28</f>
        <v>40213.03</v>
      </c>
      <c r="I19" s="119">
        <f t="shared" ref="I19:I36" si="1">H19/$C$5</f>
        <v>160.85211999999999</v>
      </c>
    </row>
    <row r="20" spans="2:9" ht="15.75" x14ac:dyDescent="0.25">
      <c r="B20" s="214" t="s">
        <v>256</v>
      </c>
      <c r="C20" s="215"/>
      <c r="D20" s="144" t="s">
        <v>22</v>
      </c>
      <c r="E20" s="145">
        <f>'Production Calendar'!N15</f>
        <v>201.06515000000002</v>
      </c>
      <c r="F20" s="146">
        <v>100</v>
      </c>
      <c r="G20" s="147">
        <f>'Budget Inputs'!F13</f>
        <v>115</v>
      </c>
      <c r="H20" s="143">
        <f>'Production Calendar'!N29</f>
        <v>23122.492249999999</v>
      </c>
      <c r="I20" s="148">
        <f t="shared" si="1"/>
        <v>92.489969000000002</v>
      </c>
    </row>
    <row r="21" spans="2:9" ht="15.75" x14ac:dyDescent="0.25">
      <c r="B21" s="218" t="s">
        <v>193</v>
      </c>
      <c r="C21" s="219"/>
      <c r="D21" s="144" t="s">
        <v>27</v>
      </c>
      <c r="E21" s="149">
        <f>'Production Calendar'!N19</f>
        <v>775.45787878787883</v>
      </c>
      <c r="F21" s="146">
        <v>21.13</v>
      </c>
      <c r="G21" s="147">
        <f>'Budget Inputs'!F16</f>
        <v>35</v>
      </c>
      <c r="H21" s="143">
        <f t="shared" ref="H21:H26" si="2">E21*G21</f>
        <v>27141.025757575761</v>
      </c>
      <c r="I21" s="148">
        <f t="shared" si="1"/>
        <v>108.56410303030304</v>
      </c>
    </row>
    <row r="22" spans="2:9" ht="15.75" x14ac:dyDescent="0.25">
      <c r="B22" s="216" t="s">
        <v>29</v>
      </c>
      <c r="C22" s="217"/>
      <c r="D22" s="122" t="s">
        <v>27</v>
      </c>
      <c r="E22" s="123">
        <f>'Production Calendar'!N18</f>
        <v>0</v>
      </c>
      <c r="F22" s="124">
        <v>6.28</v>
      </c>
      <c r="G22" s="125">
        <f>'Budget Inputs'!F15</f>
        <v>6.28</v>
      </c>
      <c r="H22" s="143">
        <f t="shared" si="2"/>
        <v>0</v>
      </c>
      <c r="I22" s="148">
        <f t="shared" si="1"/>
        <v>0</v>
      </c>
    </row>
    <row r="23" spans="2:9" ht="15.75" x14ac:dyDescent="0.25">
      <c r="B23" s="214" t="s">
        <v>28</v>
      </c>
      <c r="C23" s="215"/>
      <c r="D23" s="122" t="s">
        <v>27</v>
      </c>
      <c r="E23" s="123">
        <f>'Production Calendar'!N17</f>
        <v>1303.7918181818184</v>
      </c>
      <c r="F23" s="124">
        <v>1.41</v>
      </c>
      <c r="G23" s="125">
        <v>1.41</v>
      </c>
      <c r="H23" s="143">
        <f t="shared" si="2"/>
        <v>1838.3464636363638</v>
      </c>
      <c r="I23" s="148">
        <f t="shared" si="1"/>
        <v>7.3533858545454551</v>
      </c>
    </row>
    <row r="24" spans="2:9" ht="15.75" x14ac:dyDescent="0.25">
      <c r="B24" s="150" t="s">
        <v>259</v>
      </c>
      <c r="C24" s="151"/>
      <c r="D24" s="122" t="s">
        <v>27</v>
      </c>
      <c r="E24" s="123">
        <f>'Production Calendar'!N17</f>
        <v>1303.7918181818184</v>
      </c>
      <c r="F24" s="124">
        <v>15</v>
      </c>
      <c r="G24" s="125">
        <f>'Budget Inputs'!F17</f>
        <v>10</v>
      </c>
      <c r="H24" s="143">
        <f t="shared" si="2"/>
        <v>13037.918181818184</v>
      </c>
      <c r="I24" s="148">
        <f t="shared" ref="I24" si="3">H24/$C$5</f>
        <v>52.151672727272739</v>
      </c>
    </row>
    <row r="25" spans="2:9" ht="15.75" x14ac:dyDescent="0.25">
      <c r="B25" s="216" t="s">
        <v>26</v>
      </c>
      <c r="C25" s="217"/>
      <c r="D25" s="122" t="s">
        <v>3</v>
      </c>
      <c r="E25" s="152">
        <f>C5</f>
        <v>250</v>
      </c>
      <c r="F25" s="124">
        <v>13.49</v>
      </c>
      <c r="G25" s="125">
        <v>12.1</v>
      </c>
      <c r="H25" s="143">
        <f t="shared" si="2"/>
        <v>3025</v>
      </c>
      <c r="I25" s="148">
        <f t="shared" si="1"/>
        <v>12.1</v>
      </c>
    </row>
    <row r="26" spans="2:9" ht="15.75" x14ac:dyDescent="0.25">
      <c r="B26" s="216" t="s">
        <v>25</v>
      </c>
      <c r="C26" s="217"/>
      <c r="D26" s="122" t="s">
        <v>24</v>
      </c>
      <c r="E26" s="152">
        <v>0</v>
      </c>
      <c r="F26" s="124">
        <v>5.48</v>
      </c>
      <c r="G26" s="125">
        <v>6</v>
      </c>
      <c r="H26" s="143">
        <f t="shared" si="2"/>
        <v>0</v>
      </c>
      <c r="I26" s="148">
        <f t="shared" si="1"/>
        <v>0</v>
      </c>
    </row>
    <row r="27" spans="2:9" ht="15.75" x14ac:dyDescent="0.25">
      <c r="B27" s="216" t="s">
        <v>23</v>
      </c>
      <c r="C27" s="217"/>
      <c r="D27" s="122" t="s">
        <v>24</v>
      </c>
      <c r="E27" s="152">
        <v>0</v>
      </c>
      <c r="F27" s="124">
        <v>10.54</v>
      </c>
      <c r="G27" s="125">
        <v>12</v>
      </c>
      <c r="H27" s="143">
        <f t="shared" ref="H27:H33" si="4">E27*G27</f>
        <v>0</v>
      </c>
      <c r="I27" s="148">
        <f t="shared" si="1"/>
        <v>0</v>
      </c>
    </row>
    <row r="28" spans="2:9" ht="15.75" x14ac:dyDescent="0.25">
      <c r="B28" s="216" t="s">
        <v>21</v>
      </c>
      <c r="C28" s="217"/>
      <c r="D28" s="122" t="s">
        <v>3</v>
      </c>
      <c r="E28" s="152">
        <f>$C$5</f>
        <v>250</v>
      </c>
      <c r="F28" s="124">
        <v>31.52</v>
      </c>
      <c r="G28" s="125">
        <f>'Budget Inputs'!F20</f>
        <v>20</v>
      </c>
      <c r="H28" s="143">
        <f t="shared" si="4"/>
        <v>5000</v>
      </c>
      <c r="I28" s="148">
        <f t="shared" si="1"/>
        <v>20</v>
      </c>
    </row>
    <row r="29" spans="2:9" ht="15.75" x14ac:dyDescent="0.25">
      <c r="B29" s="214" t="s">
        <v>20</v>
      </c>
      <c r="C29" s="215"/>
      <c r="D29" s="122" t="s">
        <v>3</v>
      </c>
      <c r="E29" s="152">
        <f t="shared" ref="E29:E34" si="5">$C$5</f>
        <v>250</v>
      </c>
      <c r="F29" s="124">
        <v>5.25</v>
      </c>
      <c r="G29" s="125">
        <v>5.25</v>
      </c>
      <c r="H29" s="143">
        <f t="shared" si="4"/>
        <v>1312.5</v>
      </c>
      <c r="I29" s="148">
        <f t="shared" si="1"/>
        <v>5.25</v>
      </c>
    </row>
    <row r="30" spans="2:9" ht="15.75" x14ac:dyDescent="0.25">
      <c r="B30" s="216" t="s">
        <v>19</v>
      </c>
      <c r="C30" s="217"/>
      <c r="D30" s="122" t="s">
        <v>3</v>
      </c>
      <c r="E30" s="152">
        <f t="shared" si="5"/>
        <v>250</v>
      </c>
      <c r="F30" s="124">
        <v>9</v>
      </c>
      <c r="G30" s="125">
        <f>'Budget Inputs'!F22</f>
        <v>12.5</v>
      </c>
      <c r="H30" s="143">
        <f t="shared" si="4"/>
        <v>3125</v>
      </c>
      <c r="I30" s="148">
        <f t="shared" si="1"/>
        <v>12.5</v>
      </c>
    </row>
    <row r="31" spans="2:9" ht="15.75" x14ac:dyDescent="0.25">
      <c r="B31" s="216" t="s">
        <v>18</v>
      </c>
      <c r="C31" s="217"/>
      <c r="D31" s="122" t="s">
        <v>3</v>
      </c>
      <c r="E31" s="152">
        <f t="shared" si="5"/>
        <v>250</v>
      </c>
      <c r="F31" s="124">
        <v>32</v>
      </c>
      <c r="G31" s="125">
        <f>'Production Calendar'!O37</f>
        <v>25.550000000000008</v>
      </c>
      <c r="H31" s="143">
        <f t="shared" si="4"/>
        <v>6387.5000000000018</v>
      </c>
      <c r="I31" s="148">
        <f t="shared" si="1"/>
        <v>25.550000000000008</v>
      </c>
    </row>
    <row r="32" spans="2:9" ht="15.75" x14ac:dyDescent="0.25">
      <c r="B32" s="214" t="s">
        <v>17</v>
      </c>
      <c r="C32" s="215"/>
      <c r="D32" s="122" t="s">
        <v>3</v>
      </c>
      <c r="E32" s="152">
        <f t="shared" si="5"/>
        <v>250</v>
      </c>
      <c r="F32" s="124">
        <v>18</v>
      </c>
      <c r="G32" s="125">
        <f>'Production Calendar'!O38</f>
        <v>39.027723757153069</v>
      </c>
      <c r="H32" s="143">
        <f t="shared" si="4"/>
        <v>9756.9309392882678</v>
      </c>
      <c r="I32" s="148">
        <f t="shared" si="1"/>
        <v>39.027723757153069</v>
      </c>
    </row>
    <row r="33" spans="2:11" ht="15.75" x14ac:dyDescent="0.25">
      <c r="B33" s="216" t="s">
        <v>16</v>
      </c>
      <c r="C33" s="217"/>
      <c r="D33" s="128" t="s">
        <v>3</v>
      </c>
      <c r="E33" s="152">
        <f t="shared" si="5"/>
        <v>250</v>
      </c>
      <c r="F33" s="124">
        <v>11</v>
      </c>
      <c r="G33" s="125">
        <f>'Production Calendar'!O41</f>
        <v>45</v>
      </c>
      <c r="H33" s="143">
        <f t="shared" si="4"/>
        <v>11250</v>
      </c>
      <c r="I33" s="148">
        <f t="shared" si="1"/>
        <v>45</v>
      </c>
    </row>
    <row r="34" spans="2:11" ht="15.75" x14ac:dyDescent="0.25">
      <c r="B34" s="153" t="s">
        <v>15</v>
      </c>
      <c r="C34" s="154"/>
      <c r="D34" s="122" t="s">
        <v>3</v>
      </c>
      <c r="E34" s="152">
        <f t="shared" si="5"/>
        <v>250</v>
      </c>
      <c r="F34" s="130">
        <v>32</v>
      </c>
      <c r="G34" s="131">
        <f>'Production Calendar'!O39</f>
        <v>9.8354792560801148</v>
      </c>
      <c r="H34" s="143">
        <f>'Production Calendar'!N39</f>
        <v>9920.1377840909081</v>
      </c>
      <c r="I34" s="155">
        <f t="shared" si="1"/>
        <v>39.680551136363633</v>
      </c>
    </row>
    <row r="35" spans="2:11" ht="15.75" x14ac:dyDescent="0.25">
      <c r="B35" s="153" t="s">
        <v>14</v>
      </c>
      <c r="C35" s="154"/>
      <c r="D35" s="122" t="s">
        <v>12</v>
      </c>
      <c r="E35" s="156">
        <v>1</v>
      </c>
      <c r="F35" s="130">
        <v>1500</v>
      </c>
      <c r="G35" s="131">
        <v>1500</v>
      </c>
      <c r="H35" s="143">
        <f>'Production Calendar'!N40</f>
        <v>2500</v>
      </c>
      <c r="I35" s="155">
        <f t="shared" si="1"/>
        <v>10</v>
      </c>
    </row>
    <row r="36" spans="2:11" ht="15.75" x14ac:dyDescent="0.25">
      <c r="B36" s="153" t="s">
        <v>13</v>
      </c>
      <c r="C36" s="154"/>
      <c r="D36" s="122" t="s">
        <v>12</v>
      </c>
      <c r="E36" s="156">
        <v>1</v>
      </c>
      <c r="F36" s="130">
        <v>1000</v>
      </c>
      <c r="G36" s="131">
        <v>1000</v>
      </c>
      <c r="H36" s="143">
        <f>'Production Calendar'!N41</f>
        <v>1500</v>
      </c>
      <c r="I36" s="155">
        <f t="shared" si="1"/>
        <v>6</v>
      </c>
    </row>
    <row r="37" spans="2:11" ht="16.5" thickBot="1" x14ac:dyDescent="0.3">
      <c r="B37" s="230" t="s">
        <v>11</v>
      </c>
      <c r="C37" s="231"/>
      <c r="D37" s="157"/>
      <c r="E37" s="158">
        <f>SUM(H19,H20,H22,H23,H25,H26,H27,H28,H29)</f>
        <v>74511.368713636359</v>
      </c>
      <c r="F37" s="136">
        <v>0.06</v>
      </c>
      <c r="G37" s="137">
        <v>6.5000000000000002E-2</v>
      </c>
      <c r="H37" s="143">
        <f>'Production Calendar'!N42</f>
        <v>11438.181818181818</v>
      </c>
      <c r="I37" s="159">
        <f>H37/C5</f>
        <v>45.75272727272727</v>
      </c>
    </row>
    <row r="38" spans="2:11" ht="17.25" thickTop="1" thickBot="1" x14ac:dyDescent="0.3">
      <c r="B38" s="232" t="s">
        <v>10</v>
      </c>
      <c r="C38" s="233"/>
      <c r="D38" s="160"/>
      <c r="E38" s="160"/>
      <c r="F38" s="160"/>
      <c r="G38" s="161"/>
      <c r="H38" s="162">
        <f>SUM(H19:H37)</f>
        <v>170568.06319459129</v>
      </c>
      <c r="I38" s="163">
        <f>SUM(I19:I37)</f>
        <v>682.27225277836533</v>
      </c>
      <c r="K38" s="192">
        <f>H38/250</f>
        <v>682.27225277836521</v>
      </c>
    </row>
    <row r="39" spans="2:11" ht="17.25" thickTop="1" thickBot="1" x14ac:dyDescent="0.3">
      <c r="B39" s="106" t="s">
        <v>9</v>
      </c>
      <c r="C39" s="7"/>
      <c r="D39" s="7"/>
      <c r="E39" s="7"/>
      <c r="F39" s="7"/>
      <c r="G39" s="6"/>
      <c r="H39" s="5"/>
      <c r="I39" s="4"/>
    </row>
    <row r="40" spans="2:11" ht="15.75" x14ac:dyDescent="0.25">
      <c r="B40" s="234" t="s">
        <v>261</v>
      </c>
      <c r="C40" s="235"/>
      <c r="D40" s="164"/>
      <c r="E40" s="164"/>
      <c r="F40" s="165"/>
      <c r="G40" s="166"/>
      <c r="H40" s="228"/>
      <c r="I40" s="229"/>
    </row>
    <row r="41" spans="2:11" ht="15.75" x14ac:dyDescent="0.25">
      <c r="B41" s="214" t="s">
        <v>8</v>
      </c>
      <c r="C41" s="238"/>
      <c r="D41" s="122" t="s">
        <v>3</v>
      </c>
      <c r="E41" s="167">
        <f>$C$5</f>
        <v>250</v>
      </c>
      <c r="F41" s="146">
        <v>24</v>
      </c>
      <c r="G41" s="147">
        <v>24</v>
      </c>
      <c r="H41" s="168">
        <f>E41*G41</f>
        <v>6000</v>
      </c>
      <c r="I41" s="148">
        <f>H41/E41</f>
        <v>24</v>
      </c>
    </row>
    <row r="42" spans="2:11" ht="15.75" x14ac:dyDescent="0.25">
      <c r="B42" s="216" t="s">
        <v>7</v>
      </c>
      <c r="C42" s="239"/>
      <c r="D42" s="122" t="s">
        <v>3</v>
      </c>
      <c r="E42" s="167">
        <f t="shared" ref="E42:E45" si="6">$C$5</f>
        <v>250</v>
      </c>
      <c r="F42" s="124">
        <v>25.07</v>
      </c>
      <c r="G42" s="125">
        <v>25</v>
      </c>
      <c r="H42" s="168">
        <f t="shared" ref="H42:H44" si="7">E42*G42</f>
        <v>6250</v>
      </c>
      <c r="I42" s="148">
        <f t="shared" ref="I42:I45" si="8">H42/E42</f>
        <v>25</v>
      </c>
    </row>
    <row r="43" spans="2:11" ht="15.75" x14ac:dyDescent="0.25">
      <c r="B43" s="150" t="s">
        <v>6</v>
      </c>
      <c r="C43" s="169"/>
      <c r="D43" s="122" t="s">
        <v>3</v>
      </c>
      <c r="E43" s="167">
        <f t="shared" si="6"/>
        <v>250</v>
      </c>
      <c r="F43" s="124">
        <v>4.63</v>
      </c>
      <c r="G43" s="125">
        <v>4.5</v>
      </c>
      <c r="H43" s="168">
        <f t="shared" si="7"/>
        <v>1125</v>
      </c>
      <c r="I43" s="148">
        <f t="shared" si="8"/>
        <v>4.5</v>
      </c>
    </row>
    <row r="44" spans="2:11" ht="15.75" x14ac:dyDescent="0.25">
      <c r="B44" s="150" t="s">
        <v>5</v>
      </c>
      <c r="C44" s="169"/>
      <c r="D44" s="122" t="s">
        <v>3</v>
      </c>
      <c r="E44" s="167">
        <f t="shared" si="6"/>
        <v>250</v>
      </c>
      <c r="F44" s="124">
        <v>13.55</v>
      </c>
      <c r="G44" s="125">
        <v>10</v>
      </c>
      <c r="H44" s="168">
        <f t="shared" si="7"/>
        <v>2500</v>
      </c>
      <c r="I44" s="148">
        <f t="shared" si="8"/>
        <v>10</v>
      </c>
    </row>
    <row r="45" spans="2:11" ht="16.5" thickBot="1" x14ac:dyDescent="0.3">
      <c r="B45" s="230" t="s">
        <v>4</v>
      </c>
      <c r="C45" s="231"/>
      <c r="D45" s="134" t="s">
        <v>3</v>
      </c>
      <c r="E45" s="167">
        <f t="shared" si="6"/>
        <v>250</v>
      </c>
      <c r="F45" s="170">
        <v>25.23</v>
      </c>
      <c r="G45" s="137">
        <v>15</v>
      </c>
      <c r="H45" s="168">
        <f>E45*G45</f>
        <v>3750</v>
      </c>
      <c r="I45" s="148">
        <f t="shared" si="8"/>
        <v>15</v>
      </c>
    </row>
    <row r="46" spans="2:11" ht="17.25" thickTop="1" thickBot="1" x14ac:dyDescent="0.3">
      <c r="B46" s="236" t="s">
        <v>262</v>
      </c>
      <c r="C46" s="237"/>
      <c r="D46" s="9"/>
      <c r="E46" s="9"/>
      <c r="F46" s="9"/>
      <c r="G46" s="8"/>
      <c r="H46" s="171">
        <f>SUM(H41:H45)</f>
        <v>19625</v>
      </c>
      <c r="I46" s="172">
        <f>SUM(I40:I45)</f>
        <v>78.5</v>
      </c>
      <c r="K46" s="192">
        <f>H46/250</f>
        <v>78.5</v>
      </c>
    </row>
    <row r="47" spans="2:11" ht="16.5" thickBot="1" x14ac:dyDescent="0.3">
      <c r="B47" s="240" t="s">
        <v>2</v>
      </c>
      <c r="C47" s="241"/>
      <c r="D47" s="164"/>
      <c r="E47" s="164"/>
      <c r="F47" s="164"/>
      <c r="G47" s="173"/>
      <c r="H47" s="174">
        <f>H46+H38</f>
        <v>190193.06319459129</v>
      </c>
      <c r="I47" s="175">
        <f>I46+I38</f>
        <v>760.77225277836533</v>
      </c>
    </row>
    <row r="48" spans="2:11" ht="16.5" thickBot="1" x14ac:dyDescent="0.3">
      <c r="B48" s="222" t="s">
        <v>1</v>
      </c>
      <c r="C48" s="223"/>
      <c r="D48" s="3"/>
      <c r="E48" s="3"/>
      <c r="F48" s="3"/>
      <c r="G48" s="2"/>
      <c r="H48" s="176">
        <f>H14-H38</f>
        <v>12061.198169045063</v>
      </c>
      <c r="I48" s="177">
        <f>I14-I38</f>
        <v>48.244792676180168</v>
      </c>
    </row>
    <row r="49" spans="2:9" ht="16.5" thickBot="1" x14ac:dyDescent="0.3">
      <c r="B49" s="236" t="s">
        <v>0</v>
      </c>
      <c r="C49" s="237"/>
      <c r="D49" s="9"/>
      <c r="E49" s="9"/>
      <c r="F49" s="9"/>
      <c r="G49" s="8"/>
      <c r="H49" s="176">
        <f>H14-H47</f>
        <v>-7563.801830954937</v>
      </c>
      <c r="I49" s="178">
        <f>I14-I47</f>
        <v>-30.255207323819832</v>
      </c>
    </row>
  </sheetData>
  <mergeCells count="30">
    <mergeCell ref="B48:C48"/>
    <mergeCell ref="B49:C49"/>
    <mergeCell ref="B41:C41"/>
    <mergeCell ref="B42:C42"/>
    <mergeCell ref="B45:C45"/>
    <mergeCell ref="B46:C46"/>
    <mergeCell ref="B47:C47"/>
    <mergeCell ref="H18:I18"/>
    <mergeCell ref="B19:C19"/>
    <mergeCell ref="H40:I40"/>
    <mergeCell ref="B27:C27"/>
    <mergeCell ref="B28:C28"/>
    <mergeCell ref="B29:C29"/>
    <mergeCell ref="B30:C30"/>
    <mergeCell ref="B31:C31"/>
    <mergeCell ref="B32:C32"/>
    <mergeCell ref="B33:C33"/>
    <mergeCell ref="B37:C37"/>
    <mergeCell ref="B38:C38"/>
    <mergeCell ref="B40:C40"/>
    <mergeCell ref="B26:C26"/>
    <mergeCell ref="B25:C25"/>
    <mergeCell ref="B2:D4"/>
    <mergeCell ref="C5:D5"/>
    <mergeCell ref="B20:C20"/>
    <mergeCell ref="B22:C22"/>
    <mergeCell ref="B23:C23"/>
    <mergeCell ref="B21:C21"/>
    <mergeCell ref="B17:C17"/>
    <mergeCell ref="B18:C18"/>
  </mergeCells>
  <pageMargins left="0.25" right="0.25" top="0.75" bottom="0.75" header="0.3" footer="0.3"/>
  <pageSetup scale="72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8A889-656A-4C7E-A6EC-920CB687D778}">
  <dimension ref="A1:G11"/>
  <sheetViews>
    <sheetView workbookViewId="0">
      <selection activeCell="B8" sqref="B8"/>
    </sheetView>
  </sheetViews>
  <sheetFormatPr defaultRowHeight="15" x14ac:dyDescent="0.25"/>
  <cols>
    <col min="2" max="2" width="11.140625" bestFit="1" customWidth="1"/>
    <col min="3" max="3" width="17.42578125" bestFit="1" customWidth="1"/>
    <col min="4" max="4" width="11.5703125" bestFit="1" customWidth="1"/>
    <col min="5" max="5" width="10.140625" bestFit="1" customWidth="1"/>
  </cols>
  <sheetData>
    <row r="1" spans="1:7" x14ac:dyDescent="0.25">
      <c r="B1" t="s">
        <v>242</v>
      </c>
      <c r="C1" t="s">
        <v>269</v>
      </c>
      <c r="D1" t="s">
        <v>268</v>
      </c>
      <c r="E1" t="s">
        <v>270</v>
      </c>
    </row>
    <row r="2" spans="1:7" x14ac:dyDescent="0.25">
      <c r="A2" t="s">
        <v>273</v>
      </c>
      <c r="B2" s="17">
        <f>'CowCalf Budget'!H14</f>
        <v>182629.26136363635</v>
      </c>
      <c r="C2" s="17">
        <f>'CowCalf Budget'!H38</f>
        <v>170568.06319459129</v>
      </c>
      <c r="D2" s="192">
        <f>'CowCalf Budget'!H46</f>
        <v>19625</v>
      </c>
      <c r="E2" s="17">
        <f>'CowCalf Budget'!H49</f>
        <v>-7563.801830954937</v>
      </c>
    </row>
    <row r="3" spans="1:7" x14ac:dyDescent="0.25">
      <c r="A3" t="s">
        <v>274</v>
      </c>
      <c r="B3" s="17">
        <f>'CowCalf Budget'!I14</f>
        <v>730.5170454545455</v>
      </c>
      <c r="C3" s="17">
        <f>'CowCalf Budget'!I38</f>
        <v>682.27225277836533</v>
      </c>
      <c r="D3" s="17">
        <f>'CowCalf Budget'!I46</f>
        <v>78.5</v>
      </c>
      <c r="E3" s="17">
        <f>'CowCalf Budget'!I49</f>
        <v>-30.255207323819832</v>
      </c>
    </row>
    <row r="6" spans="1:7" x14ac:dyDescent="0.25">
      <c r="B6" t="s">
        <v>271</v>
      </c>
      <c r="C6" t="s">
        <v>272</v>
      </c>
    </row>
    <row r="7" spans="1:7" x14ac:dyDescent="0.25">
      <c r="B7" s="192">
        <f>'CowCalf Budget'!I20+'CowCalf Budget'!I21+'CowCalf Budget'!I23+'CowCalf Budget'!I24</f>
        <v>260.55913061212124</v>
      </c>
      <c r="C7" s="192">
        <f>'CowCalf Budget'!I19</f>
        <v>160.85211999999999</v>
      </c>
    </row>
    <row r="9" spans="1:7" x14ac:dyDescent="0.25">
      <c r="B9" t="s">
        <v>275</v>
      </c>
      <c r="C9" t="s">
        <v>278</v>
      </c>
      <c r="D9" t="s">
        <v>279</v>
      </c>
      <c r="E9" t="s">
        <v>280</v>
      </c>
      <c r="F9" t="s">
        <v>281</v>
      </c>
      <c r="G9" t="s">
        <v>275</v>
      </c>
    </row>
    <row r="10" spans="1:7" x14ac:dyDescent="0.25">
      <c r="B10" t="s">
        <v>276</v>
      </c>
      <c r="C10" s="18">
        <f>'CowCalf Budget'!C9</f>
        <v>550</v>
      </c>
      <c r="D10">
        <v>80</v>
      </c>
      <c r="E10" s="18">
        <f>C10-D10</f>
        <v>470</v>
      </c>
      <c r="F10" s="17">
        <f>'CowCalf Budget'!$I$47</f>
        <v>760.77225277836533</v>
      </c>
      <c r="G10" s="17">
        <f>F10/E10</f>
        <v>1.6186643676135433</v>
      </c>
    </row>
    <row r="11" spans="1:7" x14ac:dyDescent="0.25">
      <c r="B11" t="s">
        <v>277</v>
      </c>
      <c r="C11" s="18">
        <f>'CowCalf Budget'!C10</f>
        <v>500</v>
      </c>
      <c r="D11">
        <v>80</v>
      </c>
      <c r="E11" s="18">
        <f>C11-D11</f>
        <v>420</v>
      </c>
      <c r="F11" s="17">
        <f>'CowCalf Budget'!$I$47</f>
        <v>760.77225277836533</v>
      </c>
      <c r="G11" s="17">
        <f>F11/E11</f>
        <v>1.8113625066151555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E2FB1-C08F-478B-B409-790E377ABABF}">
  <dimension ref="A1"/>
  <sheetViews>
    <sheetView workbookViewId="0">
      <selection activeCell="R24" sqref="R2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</sheetPr>
  <dimension ref="A1:AG70"/>
  <sheetViews>
    <sheetView workbookViewId="0">
      <selection activeCell="S26" sqref="S26"/>
    </sheetView>
  </sheetViews>
  <sheetFormatPr defaultRowHeight="15" x14ac:dyDescent="0.25"/>
  <cols>
    <col min="1" max="1" width="47.42578125" bestFit="1" customWidth="1"/>
    <col min="2" max="6" width="16.140625" bestFit="1" customWidth="1"/>
    <col min="7" max="10" width="14.5703125" bestFit="1" customWidth="1"/>
    <col min="11" max="11" width="17" bestFit="1" customWidth="1"/>
    <col min="12" max="12" width="16.140625" bestFit="1" customWidth="1"/>
    <col min="13" max="13" width="14.5703125" bestFit="1" customWidth="1"/>
    <col min="14" max="14" width="17" bestFit="1" customWidth="1"/>
    <col min="15" max="17" width="9.140625" style="180"/>
    <col min="18" max="18" width="23.42578125" style="180" customWidth="1"/>
    <col min="19" max="19" width="12.42578125" style="180" customWidth="1"/>
    <col min="20" max="20" width="32.7109375" style="180" bestFit="1" customWidth="1"/>
    <col min="21" max="21" width="9.140625" style="180"/>
    <col min="22" max="22" width="13.5703125" style="180" customWidth="1"/>
    <col min="23" max="24" width="9.140625" style="180"/>
    <col min="25" max="25" width="10.5703125" style="180" customWidth="1"/>
  </cols>
  <sheetData>
    <row r="1" spans="1:25" ht="23.25" thickBot="1" x14ac:dyDescent="0.5">
      <c r="A1" s="39" t="s">
        <v>103</v>
      </c>
      <c r="B1" s="41" t="s">
        <v>118</v>
      </c>
      <c r="C1" s="41" t="s">
        <v>117</v>
      </c>
      <c r="D1" s="41" t="s">
        <v>116</v>
      </c>
      <c r="E1" s="41" t="s">
        <v>115</v>
      </c>
      <c r="F1" s="41" t="s">
        <v>114</v>
      </c>
      <c r="G1" s="41" t="s">
        <v>113</v>
      </c>
      <c r="H1" s="41" t="s">
        <v>112</v>
      </c>
      <c r="I1" s="41" t="s">
        <v>111</v>
      </c>
      <c r="J1" s="41" t="s">
        <v>110</v>
      </c>
      <c r="K1" s="41" t="s">
        <v>109</v>
      </c>
      <c r="L1" s="41" t="s">
        <v>108</v>
      </c>
      <c r="M1" s="41" t="s">
        <v>107</v>
      </c>
      <c r="N1" s="41" t="s">
        <v>192</v>
      </c>
    </row>
    <row r="2" spans="1:25" ht="19.899999999999999" customHeight="1" thickTop="1" x14ac:dyDescent="0.25">
      <c r="A2" s="42" t="s">
        <v>191</v>
      </c>
      <c r="B2" s="63">
        <v>31</v>
      </c>
      <c r="C2" s="64">
        <v>28</v>
      </c>
      <c r="D2" s="64">
        <v>31</v>
      </c>
      <c r="E2" s="64">
        <v>30</v>
      </c>
      <c r="F2" s="64">
        <v>31</v>
      </c>
      <c r="G2" s="64">
        <v>30</v>
      </c>
      <c r="H2" s="64">
        <v>31</v>
      </c>
      <c r="I2" s="64">
        <v>31</v>
      </c>
      <c r="J2" s="64">
        <v>30</v>
      </c>
      <c r="K2" s="64">
        <v>31</v>
      </c>
      <c r="L2" s="64">
        <v>30</v>
      </c>
      <c r="M2" s="64">
        <v>31</v>
      </c>
      <c r="N2" s="65">
        <f t="shared" ref="N2:N20" si="0">SUM(B2:M2)</f>
        <v>365</v>
      </c>
      <c r="R2" s="180" t="s">
        <v>48</v>
      </c>
      <c r="S2" s="180">
        <f>'CowCalf Budget'!C5</f>
        <v>250</v>
      </c>
      <c r="W2" s="180">
        <f>S2*1.3</f>
        <v>325</v>
      </c>
      <c r="Y2" s="180" t="s">
        <v>194</v>
      </c>
    </row>
    <row r="3" spans="1:25" ht="19.899999999999999" customHeight="1" x14ac:dyDescent="0.25">
      <c r="A3" s="43" t="s">
        <v>260</v>
      </c>
      <c r="B3" s="66">
        <f>(B2*'Budget Inputs'!$F$4)/2000</f>
        <v>103.02511818181819</v>
      </c>
      <c r="C3" s="66">
        <f>(C2*'Budget Inputs'!$F$4)/2000</f>
        <v>93.054945454545461</v>
      </c>
      <c r="D3" s="66">
        <f>(D2*'Budget Inputs'!$F$4)/2000</f>
        <v>103.02511818181819</v>
      </c>
      <c r="E3" s="66">
        <f>(E2*'Budget Inputs'!$F$4)/2000</f>
        <v>99.701727272727283</v>
      </c>
      <c r="F3" s="66">
        <f>(F2*'Budget Inputs'!$F$4)/2000</f>
        <v>103.02511818181819</v>
      </c>
      <c r="G3" s="66">
        <f>(G2*'Budget Inputs'!$F$4)/2000</f>
        <v>99.701727272727283</v>
      </c>
      <c r="H3" s="66">
        <f>(H2*'Budget Inputs'!$F$4)/2000</f>
        <v>103.02511818181819</v>
      </c>
      <c r="I3" s="66">
        <f>(I2*'Budget Inputs'!$F$4)/2000</f>
        <v>103.02511818181819</v>
      </c>
      <c r="J3" s="66">
        <f>(J2*'Budget Inputs'!$F$4)/2000</f>
        <v>99.701727272727283</v>
      </c>
      <c r="K3" s="66">
        <f>(K2*'Budget Inputs'!$F$4)/2000</f>
        <v>103.02511818181819</v>
      </c>
      <c r="L3" s="66">
        <f>(L2*'Budget Inputs'!$F$4)/2000</f>
        <v>99.701727272727283</v>
      </c>
      <c r="M3" s="66">
        <f>(M2*'Budget Inputs'!$F$4)/2000</f>
        <v>103.02511818181819</v>
      </c>
      <c r="N3" s="67">
        <f>SUM(B3:M3)</f>
        <v>1213.0376818181821</v>
      </c>
      <c r="R3" s="180" t="s">
        <v>189</v>
      </c>
      <c r="S3" s="181">
        <f>S2/U3</f>
        <v>10</v>
      </c>
      <c r="T3" s="180" t="s">
        <v>188</v>
      </c>
      <c r="U3" s="180">
        <f>'Northern UT Information'!I11</f>
        <v>25</v>
      </c>
      <c r="W3" s="180">
        <f>S3*1.5</f>
        <v>15</v>
      </c>
      <c r="X3" s="180">
        <f>W2+W3</f>
        <v>340</v>
      </c>
      <c r="Y3" s="180">
        <f>X3*26</f>
        <v>8840</v>
      </c>
    </row>
    <row r="4" spans="1:25" ht="19.899999999999999" customHeight="1" x14ac:dyDescent="0.25">
      <c r="A4" s="43" t="s">
        <v>27</v>
      </c>
      <c r="B4" s="97">
        <f>B3*2000/780</f>
        <v>264.16696969696972</v>
      </c>
      <c r="C4" s="97">
        <f t="shared" ref="C4:M4" si="1">C3*2000/780</f>
        <v>238.60242424242426</v>
      </c>
      <c r="D4" s="97">
        <f t="shared" si="1"/>
        <v>264.16696969696972</v>
      </c>
      <c r="E4" s="97">
        <f t="shared" si="1"/>
        <v>255.64545454545456</v>
      </c>
      <c r="F4" s="97">
        <f t="shared" si="1"/>
        <v>264.16696969696972</v>
      </c>
      <c r="G4" s="97">
        <f t="shared" si="1"/>
        <v>255.64545454545456</v>
      </c>
      <c r="H4" s="97">
        <f t="shared" si="1"/>
        <v>264.16696969696972</v>
      </c>
      <c r="I4" s="97">
        <f t="shared" si="1"/>
        <v>264.16696969696972</v>
      </c>
      <c r="J4" s="97">
        <f t="shared" si="1"/>
        <v>255.64545454545456</v>
      </c>
      <c r="K4" s="97">
        <f t="shared" si="1"/>
        <v>264.16696969696972</v>
      </c>
      <c r="L4" s="97">
        <f t="shared" si="1"/>
        <v>255.64545454545456</v>
      </c>
      <c r="M4" s="97">
        <f t="shared" si="1"/>
        <v>264.16696969696972</v>
      </c>
      <c r="N4" s="67">
        <f t="shared" ref="N4" si="2">N3/780</f>
        <v>1.5551765151515156</v>
      </c>
      <c r="R4" s="180" t="s">
        <v>186</v>
      </c>
      <c r="S4" s="182">
        <f>'Northern UT Information'!I4</f>
        <v>0.9</v>
      </c>
      <c r="X4" s="180">
        <f>X3*780</f>
        <v>265200</v>
      </c>
      <c r="Y4" s="180" t="s">
        <v>195</v>
      </c>
    </row>
    <row r="5" spans="1:25" ht="19.899999999999999" customHeight="1" x14ac:dyDescent="0.25">
      <c r="A5" s="43" t="s">
        <v>190</v>
      </c>
      <c r="B5" s="68">
        <v>31</v>
      </c>
      <c r="C5" s="69">
        <v>28</v>
      </c>
      <c r="D5" s="69">
        <v>31</v>
      </c>
      <c r="E5" s="69">
        <v>30</v>
      </c>
      <c r="F5" s="69"/>
      <c r="G5" s="69"/>
      <c r="H5" s="69"/>
      <c r="I5" s="69"/>
      <c r="J5" s="69"/>
      <c r="K5" s="69"/>
      <c r="L5" s="69"/>
      <c r="M5" s="69"/>
      <c r="N5" s="70">
        <f t="shared" si="0"/>
        <v>120</v>
      </c>
      <c r="R5" s="180" t="s">
        <v>184</v>
      </c>
      <c r="S5" s="182">
        <v>0.5</v>
      </c>
      <c r="X5" s="180">
        <f>X3*3</f>
        <v>1020</v>
      </c>
    </row>
    <row r="6" spans="1:25" ht="19.899999999999999" customHeight="1" x14ac:dyDescent="0.25">
      <c r="A6" s="43" t="s">
        <v>187</v>
      </c>
      <c r="B6" s="68">
        <v>31</v>
      </c>
      <c r="C6" s="69">
        <v>15</v>
      </c>
      <c r="D6" s="69">
        <v>15</v>
      </c>
      <c r="E6" s="69"/>
      <c r="F6" s="69"/>
      <c r="G6" s="69"/>
      <c r="H6" s="69"/>
      <c r="I6" s="69"/>
      <c r="J6" s="69"/>
      <c r="K6" s="69"/>
      <c r="L6" s="69"/>
      <c r="M6" s="69">
        <v>31</v>
      </c>
      <c r="N6" s="70">
        <f t="shared" si="0"/>
        <v>92</v>
      </c>
      <c r="R6" s="180" t="s">
        <v>182</v>
      </c>
      <c r="S6" s="182">
        <v>0.5</v>
      </c>
    </row>
    <row r="7" spans="1:25" ht="19.899999999999999" customHeight="1" x14ac:dyDescent="0.25">
      <c r="A7" s="43" t="s">
        <v>185</v>
      </c>
      <c r="B7" s="68">
        <f>'Budget Inputs'!I5</f>
        <v>0</v>
      </c>
      <c r="C7" s="68">
        <f>'Budget Inputs'!J5</f>
        <v>0</v>
      </c>
      <c r="D7" s="68">
        <f>'Budget Inputs'!K5</f>
        <v>0</v>
      </c>
      <c r="E7" s="68">
        <f>'Budget Inputs'!L5</f>
        <v>0</v>
      </c>
      <c r="F7" s="68">
        <f>'Budget Inputs'!M5</f>
        <v>0</v>
      </c>
      <c r="G7" s="68">
        <f>'Budget Inputs'!N5</f>
        <v>1</v>
      </c>
      <c r="H7" s="68">
        <f>'Budget Inputs'!O5</f>
        <v>1</v>
      </c>
      <c r="I7" s="68">
        <f>'Budget Inputs'!P5</f>
        <v>1</v>
      </c>
      <c r="J7" s="68">
        <f>'Budget Inputs'!Q5</f>
        <v>1</v>
      </c>
      <c r="K7" s="68">
        <f>'Budget Inputs'!R5</f>
        <v>1</v>
      </c>
      <c r="L7" s="68">
        <f>'Budget Inputs'!S5</f>
        <v>0</v>
      </c>
      <c r="M7" s="68">
        <f>'Budget Inputs'!T5</f>
        <v>0</v>
      </c>
      <c r="N7" s="70">
        <f t="shared" si="0"/>
        <v>5</v>
      </c>
      <c r="R7" s="180" t="s">
        <v>180</v>
      </c>
      <c r="S7" s="182">
        <f>'Northern UT Information'!I7</f>
        <v>0.1</v>
      </c>
      <c r="T7" s="180" t="s">
        <v>176</v>
      </c>
      <c r="U7" s="181">
        <f>S2*S7</f>
        <v>25</v>
      </c>
    </row>
    <row r="8" spans="1:25" ht="19.899999999999999" customHeight="1" x14ac:dyDescent="0.25">
      <c r="A8" s="43" t="s">
        <v>183</v>
      </c>
      <c r="B8" s="68">
        <f>'Budget Inputs'!I4</f>
        <v>0</v>
      </c>
      <c r="C8" s="68">
        <f>'Budget Inputs'!J4</f>
        <v>0</v>
      </c>
      <c r="D8" s="68">
        <f>'Budget Inputs'!K4</f>
        <v>0</v>
      </c>
      <c r="E8" s="68">
        <f>'Budget Inputs'!L4</f>
        <v>0</v>
      </c>
      <c r="F8" s="68">
        <f>'Budget Inputs'!M4</f>
        <v>0</v>
      </c>
      <c r="G8" s="68">
        <f>'Budget Inputs'!N4</f>
        <v>0</v>
      </c>
      <c r="H8" s="68">
        <f>'Budget Inputs'!O4</f>
        <v>0</v>
      </c>
      <c r="I8" s="68">
        <f>'Budget Inputs'!P4</f>
        <v>0</v>
      </c>
      <c r="J8" s="68">
        <f>'Budget Inputs'!Q4</f>
        <v>0</v>
      </c>
      <c r="K8" s="68">
        <f>'Budget Inputs'!R4</f>
        <v>0</v>
      </c>
      <c r="L8" s="68">
        <f>'Budget Inputs'!S4</f>
        <v>0</v>
      </c>
      <c r="M8" s="68">
        <f>'Budget Inputs'!T4</f>
        <v>0</v>
      </c>
      <c r="N8" s="70">
        <f t="shared" si="0"/>
        <v>0</v>
      </c>
      <c r="R8" s="180" t="s">
        <v>79</v>
      </c>
      <c r="S8" s="182">
        <f>'Northern UT Information'!I8</f>
        <v>0.33</v>
      </c>
      <c r="T8" s="180" t="s">
        <v>176</v>
      </c>
      <c r="U8" s="181">
        <f>S3*S8</f>
        <v>3.3000000000000003</v>
      </c>
    </row>
    <row r="9" spans="1:25" ht="19.899999999999999" customHeight="1" x14ac:dyDescent="0.25">
      <c r="A9" s="43" t="s">
        <v>181</v>
      </c>
      <c r="B9" s="68">
        <f>'Budget Inputs'!I3</f>
        <v>0</v>
      </c>
      <c r="C9" s="68">
        <f>'Budget Inputs'!J3</f>
        <v>0</v>
      </c>
      <c r="D9" s="68">
        <f>'Budget Inputs'!K3</f>
        <v>0</v>
      </c>
      <c r="E9" s="68">
        <f>'Budget Inputs'!L3</f>
        <v>1</v>
      </c>
      <c r="F9" s="68">
        <f>'Budget Inputs'!M3</f>
        <v>1</v>
      </c>
      <c r="G9" s="68">
        <f>'Budget Inputs'!N3</f>
        <v>0</v>
      </c>
      <c r="H9" s="68">
        <f>'Budget Inputs'!O3</f>
        <v>0</v>
      </c>
      <c r="I9" s="68">
        <f>'Budget Inputs'!P3</f>
        <v>0</v>
      </c>
      <c r="J9" s="68">
        <f>'Budget Inputs'!Q3</f>
        <v>0</v>
      </c>
      <c r="K9" s="68">
        <f>'Budget Inputs'!R3</f>
        <v>0</v>
      </c>
      <c r="L9" s="68">
        <f>'Budget Inputs'!S3</f>
        <v>1</v>
      </c>
      <c r="M9" s="68">
        <f>'Budget Inputs'!T3</f>
        <v>0</v>
      </c>
      <c r="N9" s="70">
        <f t="shared" si="0"/>
        <v>3</v>
      </c>
      <c r="R9" s="180" t="s">
        <v>177</v>
      </c>
      <c r="S9" s="182">
        <f>'Northern UT Information'!I5</f>
        <v>0.02</v>
      </c>
      <c r="T9" s="180" t="s">
        <v>176</v>
      </c>
      <c r="U9" s="181">
        <f>S2*S9</f>
        <v>5</v>
      </c>
    </row>
    <row r="10" spans="1:25" ht="19.899999999999999" customHeight="1" x14ac:dyDescent="0.25">
      <c r="A10" s="43" t="s">
        <v>234</v>
      </c>
      <c r="B10" s="68">
        <f>'Budget Inputs'!I6</f>
        <v>1</v>
      </c>
      <c r="C10" s="68">
        <f>'Budget Inputs'!J6</f>
        <v>1</v>
      </c>
      <c r="D10" s="68">
        <f>'Budget Inputs'!K6</f>
        <v>1</v>
      </c>
      <c r="E10" s="68">
        <f>'Budget Inputs'!L6</f>
        <v>0</v>
      </c>
      <c r="F10" s="68">
        <f>'Budget Inputs'!M6</f>
        <v>0</v>
      </c>
      <c r="G10" s="68">
        <f>'Budget Inputs'!N6</f>
        <v>0</v>
      </c>
      <c r="H10" s="68">
        <f>'Budget Inputs'!O6</f>
        <v>0</v>
      </c>
      <c r="I10" s="68">
        <f>'Budget Inputs'!P6</f>
        <v>0</v>
      </c>
      <c r="J10" s="68">
        <f>'Budget Inputs'!Q6</f>
        <v>0</v>
      </c>
      <c r="K10" s="68">
        <f>'Budget Inputs'!R6</f>
        <v>0</v>
      </c>
      <c r="L10" s="68">
        <f>'Budget Inputs'!S6</f>
        <v>0</v>
      </c>
      <c r="M10" s="68">
        <f>'Budget Inputs'!T6</f>
        <v>1</v>
      </c>
      <c r="N10" s="70">
        <f t="shared" si="0"/>
        <v>4</v>
      </c>
      <c r="R10" s="180" t="s">
        <v>174</v>
      </c>
      <c r="S10" s="183">
        <f>U7+U9</f>
        <v>30</v>
      </c>
    </row>
    <row r="11" spans="1:25" ht="19.899999999999999" customHeight="1" x14ac:dyDescent="0.25">
      <c r="A11" s="43" t="s">
        <v>179</v>
      </c>
      <c r="B11" s="68">
        <v>1</v>
      </c>
      <c r="C11" s="69">
        <v>1</v>
      </c>
      <c r="D11" s="69">
        <v>1</v>
      </c>
      <c r="E11" s="69">
        <v>1</v>
      </c>
      <c r="F11" s="69">
        <v>1</v>
      </c>
      <c r="G11" s="69">
        <v>1</v>
      </c>
      <c r="H11" s="69">
        <v>1</v>
      </c>
      <c r="I11" s="69">
        <v>1</v>
      </c>
      <c r="J11" s="69">
        <v>1</v>
      </c>
      <c r="K11" s="69">
        <v>1</v>
      </c>
      <c r="L11" s="69">
        <v>1</v>
      </c>
      <c r="M11" s="69">
        <v>1</v>
      </c>
      <c r="N11" s="70">
        <f t="shared" si="0"/>
        <v>12</v>
      </c>
      <c r="R11" s="180" t="s">
        <v>172</v>
      </c>
      <c r="S11" s="183">
        <f>U7</f>
        <v>25</v>
      </c>
      <c r="T11" s="180" t="s">
        <v>171</v>
      </c>
      <c r="U11" s="180">
        <f>'CowCalf Budget'!C12</f>
        <v>1100</v>
      </c>
      <c r="V11" s="180" t="s">
        <v>170</v>
      </c>
      <c r="W11" s="184" t="e">
        <f>'CowCalf Budget'!#REF!</f>
        <v>#REF!</v>
      </c>
      <c r="X11" s="180" t="s">
        <v>169</v>
      </c>
      <c r="Y11" s="185" t="e">
        <f>S11*U11*W11</f>
        <v>#REF!</v>
      </c>
    </row>
    <row r="12" spans="1:25" ht="19.899999999999999" customHeight="1" x14ac:dyDescent="0.25">
      <c r="A12" s="43" t="s">
        <v>178</v>
      </c>
      <c r="B12" s="68">
        <v>0.2</v>
      </c>
      <c r="C12" s="69"/>
      <c r="D12" s="69"/>
      <c r="E12" s="69"/>
      <c r="F12" s="69">
        <v>0.3</v>
      </c>
      <c r="G12" s="69"/>
      <c r="H12" s="69"/>
      <c r="I12" s="69"/>
      <c r="J12" s="69"/>
      <c r="K12" s="69"/>
      <c r="L12" s="69"/>
      <c r="M12" s="69">
        <v>0.5</v>
      </c>
      <c r="N12" s="85">
        <f t="shared" si="0"/>
        <v>1</v>
      </c>
      <c r="R12" s="180" t="s">
        <v>168</v>
      </c>
      <c r="S12" s="183">
        <f>U8</f>
        <v>3.3000000000000003</v>
      </c>
      <c r="T12" s="180" t="s">
        <v>167</v>
      </c>
      <c r="U12" s="180">
        <f>'CowCalf Budget'!C13</f>
        <v>1400</v>
      </c>
      <c r="V12" s="180" t="s">
        <v>166</v>
      </c>
      <c r="W12" s="184" t="e">
        <f>'CowCalf Budget'!#REF!</f>
        <v>#REF!</v>
      </c>
      <c r="X12" s="180" t="s">
        <v>165</v>
      </c>
      <c r="Y12" s="185" t="e">
        <f>S12*U12*W12</f>
        <v>#REF!</v>
      </c>
    </row>
    <row r="13" spans="1:25" ht="19.899999999999999" customHeight="1" x14ac:dyDescent="0.25">
      <c r="A13" s="43" t="s">
        <v>175</v>
      </c>
      <c r="B13" s="68"/>
      <c r="C13" s="69"/>
      <c r="D13" s="69"/>
      <c r="E13" s="69"/>
      <c r="F13" s="69"/>
      <c r="G13" s="69">
        <v>0.25</v>
      </c>
      <c r="H13" s="69"/>
      <c r="I13" s="69"/>
      <c r="J13" s="69"/>
      <c r="K13" s="69">
        <v>0.5</v>
      </c>
      <c r="L13" s="69"/>
      <c r="M13" s="69">
        <v>0.25</v>
      </c>
      <c r="N13" s="85">
        <f t="shared" si="0"/>
        <v>1</v>
      </c>
      <c r="R13" s="180" t="s">
        <v>164</v>
      </c>
      <c r="S13" s="181">
        <f>S2*S4*S5</f>
        <v>112.5</v>
      </c>
      <c r="T13" s="180" t="s">
        <v>163</v>
      </c>
      <c r="U13" s="180">
        <f>'CowCalf Budget'!C9</f>
        <v>550</v>
      </c>
      <c r="V13" s="180" t="s">
        <v>162</v>
      </c>
      <c r="W13" s="184" t="e">
        <f>'CowCalf Budget'!#REF!</f>
        <v>#REF!</v>
      </c>
      <c r="X13" s="180" t="s">
        <v>161</v>
      </c>
      <c r="Y13" s="185" t="e">
        <f>S13*U13*W13</f>
        <v>#REF!</v>
      </c>
    </row>
    <row r="14" spans="1:25" ht="19.899999999999999" customHeight="1" x14ac:dyDescent="0.25">
      <c r="A14" s="43" t="s">
        <v>240</v>
      </c>
      <c r="B14" s="86">
        <f>((B3)*B10)*0.5</f>
        <v>51.512559090909093</v>
      </c>
      <c r="C14" s="86">
        <f t="shared" ref="C14:M14" si="3">((C3)*C10)*0.5</f>
        <v>46.52747272727273</v>
      </c>
      <c r="D14" s="86">
        <f t="shared" si="3"/>
        <v>51.512559090909093</v>
      </c>
      <c r="E14" s="86">
        <f t="shared" si="3"/>
        <v>0</v>
      </c>
      <c r="F14" s="86">
        <f t="shared" si="3"/>
        <v>0</v>
      </c>
      <c r="G14" s="86">
        <f t="shared" si="3"/>
        <v>0</v>
      </c>
      <c r="H14" s="86">
        <f t="shared" si="3"/>
        <v>0</v>
      </c>
      <c r="I14" s="86">
        <f t="shared" si="3"/>
        <v>0</v>
      </c>
      <c r="J14" s="86">
        <f t="shared" si="3"/>
        <v>0</v>
      </c>
      <c r="K14" s="86">
        <f t="shared" si="3"/>
        <v>0</v>
      </c>
      <c r="L14" s="86">
        <f t="shared" si="3"/>
        <v>0</v>
      </c>
      <c r="M14" s="86">
        <f t="shared" si="3"/>
        <v>51.512559090909093</v>
      </c>
      <c r="N14" s="89">
        <f t="shared" si="0"/>
        <v>201.06515000000002</v>
      </c>
      <c r="R14" s="180" t="s">
        <v>160</v>
      </c>
      <c r="S14" s="181">
        <f>(S2*S4*S6)-S10</f>
        <v>82.5</v>
      </c>
      <c r="T14" s="180" t="s">
        <v>159</v>
      </c>
      <c r="U14" s="180">
        <f>'CowCalf Budget'!C10</f>
        <v>500</v>
      </c>
      <c r="V14" s="180" t="s">
        <v>158</v>
      </c>
      <c r="W14" s="184" t="e">
        <f>'CowCalf Budget'!#REF!</f>
        <v>#REF!</v>
      </c>
      <c r="X14" s="180" t="s">
        <v>157</v>
      </c>
      <c r="Y14" s="185" t="e">
        <f>S14*U14*W14</f>
        <v>#REF!</v>
      </c>
    </row>
    <row r="15" spans="1:25" ht="19.899999999999999" customHeight="1" x14ac:dyDescent="0.25">
      <c r="A15" s="43" t="s">
        <v>257</v>
      </c>
      <c r="B15" s="87">
        <f>((B3)*B10)*0.5</f>
        <v>51.512559090909093</v>
      </c>
      <c r="C15" s="87">
        <f t="shared" ref="C15:M15" si="4">((C3)*C10)*0.5</f>
        <v>46.52747272727273</v>
      </c>
      <c r="D15" s="87">
        <f t="shared" si="4"/>
        <v>51.512559090909093</v>
      </c>
      <c r="E15" s="87">
        <f t="shared" si="4"/>
        <v>0</v>
      </c>
      <c r="F15" s="87">
        <f t="shared" si="4"/>
        <v>0</v>
      </c>
      <c r="G15" s="87">
        <f t="shared" si="4"/>
        <v>0</v>
      </c>
      <c r="H15" s="87">
        <f t="shared" si="4"/>
        <v>0</v>
      </c>
      <c r="I15" s="87">
        <f t="shared" si="4"/>
        <v>0</v>
      </c>
      <c r="J15" s="87">
        <f t="shared" si="4"/>
        <v>0</v>
      </c>
      <c r="K15" s="87">
        <f t="shared" si="4"/>
        <v>0</v>
      </c>
      <c r="L15" s="87">
        <f t="shared" si="4"/>
        <v>0</v>
      </c>
      <c r="M15" s="87">
        <f t="shared" si="4"/>
        <v>51.512559090909093</v>
      </c>
      <c r="N15" s="89">
        <f t="shared" si="0"/>
        <v>201.06515000000002</v>
      </c>
      <c r="R15" s="180" t="s">
        <v>156</v>
      </c>
      <c r="S15" s="180">
        <f>U11*0.03</f>
        <v>33</v>
      </c>
      <c r="T15" s="180" t="s">
        <v>155</v>
      </c>
      <c r="U15" s="186">
        <f>(S15*S2)+(S16*S3)</f>
        <v>8670</v>
      </c>
    </row>
    <row r="16" spans="1:25" ht="19.899999999999999" customHeight="1" x14ac:dyDescent="0.25">
      <c r="A16" s="43" t="s">
        <v>235</v>
      </c>
      <c r="B16" s="68">
        <v>1</v>
      </c>
      <c r="C16" s="69">
        <v>1</v>
      </c>
      <c r="D16" s="68">
        <v>1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1</v>
      </c>
      <c r="N16" s="89">
        <f t="shared" si="0"/>
        <v>4</v>
      </c>
      <c r="R16" s="180" t="s">
        <v>153</v>
      </c>
      <c r="S16" s="180">
        <f>U12*0.03</f>
        <v>42</v>
      </c>
      <c r="T16" s="180" t="s">
        <v>152</v>
      </c>
      <c r="U16" s="187">
        <f>U15/2000</f>
        <v>4.335</v>
      </c>
    </row>
    <row r="17" spans="1:33" ht="19.899999999999999" customHeight="1" thickBot="1" x14ac:dyDescent="0.3">
      <c r="A17" s="43" t="s">
        <v>236</v>
      </c>
      <c r="B17" s="88">
        <f>IF(B7=1,B4,0)</f>
        <v>0</v>
      </c>
      <c r="C17" s="88">
        <f t="shared" ref="C17:M17" si="5">IF(C7=1,C4,0)</f>
        <v>0</v>
      </c>
      <c r="D17" s="88">
        <f t="shared" si="5"/>
        <v>0</v>
      </c>
      <c r="E17" s="88">
        <f t="shared" si="5"/>
        <v>0</v>
      </c>
      <c r="F17" s="88">
        <f t="shared" si="5"/>
        <v>0</v>
      </c>
      <c r="G17" s="88">
        <f t="shared" si="5"/>
        <v>255.64545454545456</v>
      </c>
      <c r="H17" s="88">
        <f t="shared" si="5"/>
        <v>264.16696969696972</v>
      </c>
      <c r="I17" s="88">
        <f t="shared" si="5"/>
        <v>264.16696969696972</v>
      </c>
      <c r="J17" s="88">
        <f t="shared" si="5"/>
        <v>255.64545454545456</v>
      </c>
      <c r="K17" s="88">
        <f t="shared" si="5"/>
        <v>264.16696969696972</v>
      </c>
      <c r="L17" s="88">
        <f t="shared" si="5"/>
        <v>0</v>
      </c>
      <c r="M17" s="88">
        <f t="shared" si="5"/>
        <v>0</v>
      </c>
      <c r="N17" s="89">
        <f t="shared" si="0"/>
        <v>1303.7918181818184</v>
      </c>
      <c r="R17" s="180" t="s">
        <v>150</v>
      </c>
      <c r="S17" s="180" t="s">
        <v>149</v>
      </c>
      <c r="T17" s="180" t="s">
        <v>148</v>
      </c>
      <c r="U17" s="187" t="s">
        <v>147</v>
      </c>
      <c r="W17" s="185"/>
    </row>
    <row r="18" spans="1:33" ht="19.899999999999999" customHeight="1" x14ac:dyDescent="0.25">
      <c r="A18" s="43" t="s">
        <v>237</v>
      </c>
      <c r="B18" s="88">
        <f>IF(B8=1,B4,0)</f>
        <v>0</v>
      </c>
      <c r="C18" s="88">
        <f t="shared" ref="C18:M18" si="6">IF(C8=1,C4,0)</f>
        <v>0</v>
      </c>
      <c r="D18" s="88">
        <f t="shared" si="6"/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  <c r="H18" s="88">
        <f t="shared" si="6"/>
        <v>0</v>
      </c>
      <c r="I18" s="88">
        <f t="shared" si="6"/>
        <v>0</v>
      </c>
      <c r="J18" s="88">
        <f t="shared" si="6"/>
        <v>0</v>
      </c>
      <c r="K18" s="88">
        <f t="shared" si="6"/>
        <v>0</v>
      </c>
      <c r="L18" s="88">
        <f t="shared" si="6"/>
        <v>0</v>
      </c>
      <c r="M18" s="88">
        <f t="shared" si="6"/>
        <v>0</v>
      </c>
      <c r="N18" s="89">
        <f t="shared" si="0"/>
        <v>0</v>
      </c>
      <c r="R18" s="180" t="s">
        <v>31</v>
      </c>
      <c r="S18" s="184" t="e">
        <f>'CowCalf Budget'!#REF!</f>
        <v>#REF!</v>
      </c>
      <c r="T18" s="187">
        <f>U16*V21</f>
        <v>1.3546875</v>
      </c>
      <c r="U18" s="184" t="e">
        <f>S18*T18</f>
        <v>#REF!</v>
      </c>
      <c r="Z18" s="242" t="s">
        <v>12</v>
      </c>
      <c r="AA18" s="23" t="s">
        <v>196</v>
      </c>
      <c r="AB18" s="242" t="s">
        <v>198</v>
      </c>
      <c r="AC18" s="242" t="s">
        <v>199</v>
      </c>
      <c r="AD18" s="23" t="s">
        <v>200</v>
      </c>
      <c r="AE18" s="242" t="s">
        <v>203</v>
      </c>
      <c r="AF18" s="242" t="s">
        <v>204</v>
      </c>
      <c r="AG18" s="242" t="s">
        <v>205</v>
      </c>
    </row>
    <row r="19" spans="1:33" ht="17.45" customHeight="1" x14ac:dyDescent="0.25">
      <c r="A19" s="43" t="s">
        <v>238</v>
      </c>
      <c r="B19" s="88">
        <f>IF(B9=1,B4,0)</f>
        <v>0</v>
      </c>
      <c r="C19" s="88">
        <f t="shared" ref="C19:M19" si="7">IF(C9=1,C4,0)</f>
        <v>0</v>
      </c>
      <c r="D19" s="88">
        <f t="shared" si="7"/>
        <v>0</v>
      </c>
      <c r="E19" s="88">
        <f t="shared" si="7"/>
        <v>255.64545454545456</v>
      </c>
      <c r="F19" s="88">
        <f t="shared" si="7"/>
        <v>264.16696969696972</v>
      </c>
      <c r="G19" s="88">
        <f t="shared" si="7"/>
        <v>0</v>
      </c>
      <c r="H19" s="88">
        <f t="shared" si="7"/>
        <v>0</v>
      </c>
      <c r="I19" s="88">
        <f t="shared" si="7"/>
        <v>0</v>
      </c>
      <c r="J19" s="88">
        <f t="shared" si="7"/>
        <v>0</v>
      </c>
      <c r="K19" s="88">
        <f t="shared" si="7"/>
        <v>0</v>
      </c>
      <c r="L19" s="88">
        <f t="shared" si="7"/>
        <v>255.64545454545456</v>
      </c>
      <c r="M19" s="88">
        <f t="shared" si="7"/>
        <v>0</v>
      </c>
      <c r="N19" s="89">
        <f t="shared" si="0"/>
        <v>775.45787878787883</v>
      </c>
      <c r="R19" s="180" t="s">
        <v>30</v>
      </c>
      <c r="S19" s="184" t="e">
        <f>'CowCalf Budget'!#REF!</f>
        <v>#REF!</v>
      </c>
      <c r="T19" s="187">
        <f>U16*V23</f>
        <v>2.9803125000000001</v>
      </c>
      <c r="U19" s="184" t="e">
        <f>S19*T19</f>
        <v>#REF!</v>
      </c>
      <c r="Z19" s="243"/>
      <c r="AA19" s="24" t="s">
        <v>197</v>
      </c>
      <c r="AB19" s="243"/>
      <c r="AC19" s="243"/>
      <c r="AD19" s="24" t="s">
        <v>201</v>
      </c>
      <c r="AE19" s="243"/>
      <c r="AF19" s="243"/>
      <c r="AG19" s="243"/>
    </row>
    <row r="20" spans="1:33" ht="19.899999999999999" customHeight="1" thickBot="1" x14ac:dyDescent="0.3">
      <c r="A20" s="43" t="s">
        <v>239</v>
      </c>
      <c r="B20" s="68">
        <v>1</v>
      </c>
      <c r="C20" s="68">
        <v>1</v>
      </c>
      <c r="D20" s="68">
        <v>1</v>
      </c>
      <c r="E20" s="68">
        <v>1</v>
      </c>
      <c r="F20" s="68">
        <v>1</v>
      </c>
      <c r="G20" s="68">
        <v>1</v>
      </c>
      <c r="H20" s="68">
        <v>1</v>
      </c>
      <c r="I20" s="68">
        <v>1</v>
      </c>
      <c r="J20" s="68">
        <v>1</v>
      </c>
      <c r="K20" s="68">
        <v>1</v>
      </c>
      <c r="L20" s="68">
        <v>1</v>
      </c>
      <c r="M20" s="68">
        <v>1</v>
      </c>
      <c r="N20" s="89">
        <f t="shared" si="0"/>
        <v>12</v>
      </c>
      <c r="R20" s="180" t="s">
        <v>106</v>
      </c>
      <c r="S20" s="180" t="s">
        <v>146</v>
      </c>
      <c r="T20" s="180" t="s">
        <v>145</v>
      </c>
      <c r="V20" s="180" t="s">
        <v>144</v>
      </c>
      <c r="Z20" s="244"/>
      <c r="AA20" s="25"/>
      <c r="AB20" s="244"/>
      <c r="AC20" s="244"/>
      <c r="AD20" s="26" t="s">
        <v>202</v>
      </c>
      <c r="AE20" s="244"/>
      <c r="AF20" s="244"/>
      <c r="AG20" s="244"/>
    </row>
    <row r="21" spans="1:33" ht="19.5" thickBot="1" x14ac:dyDescent="0.45">
      <c r="A21" s="44" t="s">
        <v>242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 t="s">
        <v>173</v>
      </c>
      <c r="R21" s="180" t="s">
        <v>142</v>
      </c>
      <c r="S21" s="180">
        <v>58</v>
      </c>
      <c r="U21" s="180">
        <f>S23-T22</f>
        <v>2.5</v>
      </c>
      <c r="V21" s="182">
        <f>U21/U24</f>
        <v>0.3125</v>
      </c>
      <c r="Z21" s="27">
        <v>2015</v>
      </c>
      <c r="AA21" s="26">
        <v>39</v>
      </c>
      <c r="AB21" s="26">
        <v>150</v>
      </c>
      <c r="AC21" s="26">
        <v>88.7</v>
      </c>
      <c r="AD21" s="26">
        <v>1.4</v>
      </c>
      <c r="AE21" s="26"/>
      <c r="AF21" s="28"/>
      <c r="AG21" s="26">
        <v>3500</v>
      </c>
    </row>
    <row r="22" spans="1:33" ht="16.5" thickTop="1" thickBot="1" x14ac:dyDescent="0.3">
      <c r="A22" s="47" t="s">
        <v>43</v>
      </c>
      <c r="B22" s="71"/>
      <c r="C22" s="72"/>
      <c r="D22" s="72"/>
      <c r="E22" s="72"/>
      <c r="F22" s="72"/>
      <c r="G22" s="72"/>
      <c r="H22" s="72"/>
      <c r="I22" s="72"/>
      <c r="J22" s="72"/>
      <c r="K22" s="72">
        <f>'Budget Inputs'!C18*'Budget Inputs'!C19*'Budget Inputs'!F9</f>
        <v>113196.875</v>
      </c>
      <c r="L22" s="72"/>
      <c r="M22" s="72"/>
      <c r="N22" s="73">
        <f>SUM(B22:M22)</f>
        <v>113196.875</v>
      </c>
      <c r="P22" s="185">
        <f>N30/96</f>
        <v>32.037500000000001</v>
      </c>
      <c r="S22" s="185"/>
      <c r="T22" s="180">
        <v>52.5</v>
      </c>
      <c r="Z22" s="27">
        <v>2016</v>
      </c>
      <c r="AA22" s="26">
        <v>40</v>
      </c>
      <c r="AB22" s="26">
        <v>181</v>
      </c>
      <c r="AC22" s="26">
        <v>107.4</v>
      </c>
      <c r="AD22" s="26">
        <v>1.7</v>
      </c>
      <c r="AE22" s="29">
        <v>0.21</v>
      </c>
      <c r="AF22" s="29">
        <v>0.21</v>
      </c>
      <c r="AG22" s="30">
        <v>46518</v>
      </c>
    </row>
    <row r="23" spans="1:33" ht="15.75" thickBot="1" x14ac:dyDescent="0.3">
      <c r="A23" s="48" t="s">
        <v>42</v>
      </c>
      <c r="B23" s="74"/>
      <c r="C23" s="75"/>
      <c r="D23" s="75"/>
      <c r="E23" s="75"/>
      <c r="F23" s="75"/>
      <c r="G23" s="75"/>
      <c r="H23" s="75"/>
      <c r="I23" s="75"/>
      <c r="J23" s="75"/>
      <c r="K23" s="75">
        <f>'Budget Inputs'!C20*'Budget Inputs'!C21*'Budget Inputs'!F10</f>
        <v>68906.25</v>
      </c>
      <c r="L23" s="75"/>
      <c r="M23" s="75"/>
      <c r="N23" s="76">
        <f>SUM(B23:M23)</f>
        <v>68906.25</v>
      </c>
      <c r="R23" s="180" t="s">
        <v>30</v>
      </c>
      <c r="S23" s="180">
        <v>55</v>
      </c>
      <c r="U23" s="180">
        <f>S21-$T$22</f>
        <v>5.5</v>
      </c>
      <c r="V23" s="182">
        <f>U23/U24</f>
        <v>0.6875</v>
      </c>
      <c r="Z23" s="27">
        <v>2017</v>
      </c>
      <c r="AA23" s="26">
        <v>51</v>
      </c>
      <c r="AB23" s="26">
        <v>184</v>
      </c>
      <c r="AC23" s="26">
        <v>141</v>
      </c>
      <c r="AD23" s="26">
        <v>2.2000000000000002</v>
      </c>
      <c r="AE23" s="29">
        <v>0.31</v>
      </c>
      <c r="AF23" s="29">
        <v>0.59</v>
      </c>
      <c r="AG23" s="30">
        <v>34850</v>
      </c>
    </row>
    <row r="24" spans="1:33" ht="15.75" thickBot="1" x14ac:dyDescent="0.3">
      <c r="A24" s="48" t="s">
        <v>40</v>
      </c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>
        <f>'Budget Inputs'!C14*'Budget Inputs'!C15*'Budget Inputs'!F7</f>
        <v>27500</v>
      </c>
      <c r="N24" s="76">
        <f>SUM(B24:M24)</f>
        <v>27500</v>
      </c>
      <c r="U24" s="180">
        <f>SUM(U21,U23)</f>
        <v>8</v>
      </c>
      <c r="Z24" s="27">
        <v>2018</v>
      </c>
      <c r="AA24" s="26">
        <v>62</v>
      </c>
      <c r="AB24" s="26">
        <v>170</v>
      </c>
      <c r="AC24" s="26">
        <v>156.80000000000001</v>
      </c>
      <c r="AD24" s="26">
        <v>2.5</v>
      </c>
      <c r="AE24" s="29">
        <v>0.11</v>
      </c>
      <c r="AF24" s="29">
        <v>0.77</v>
      </c>
      <c r="AG24" s="30">
        <v>26541</v>
      </c>
    </row>
    <row r="25" spans="1:33" ht="15.75" thickBot="1" x14ac:dyDescent="0.3">
      <c r="A25" s="49" t="s">
        <v>39</v>
      </c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>
        <f>'Budget Inputs'!C16*'Budget Inputs'!C17*'Budget Inputs'!F8</f>
        <v>1463.6363636363635</v>
      </c>
      <c r="M25" s="78"/>
      <c r="N25" s="79">
        <f>SUM(B25:M25)</f>
        <v>1463.6363636363635</v>
      </c>
      <c r="R25" s="180" t="s">
        <v>140</v>
      </c>
      <c r="U25" s="184">
        <v>0.1</v>
      </c>
    </row>
    <row r="26" spans="1:33" ht="16.5" thickTop="1" thickBot="1" x14ac:dyDescent="0.3">
      <c r="A26" s="50" t="s">
        <v>154</v>
      </c>
      <c r="B26" s="80">
        <f t="shared" ref="B26:N26" si="8">SUM(B22:B25)</f>
        <v>0</v>
      </c>
      <c r="C26" s="81">
        <f t="shared" si="8"/>
        <v>0</v>
      </c>
      <c r="D26" s="81">
        <f t="shared" si="8"/>
        <v>0</v>
      </c>
      <c r="E26" s="81">
        <f t="shared" si="8"/>
        <v>0</v>
      </c>
      <c r="F26" s="81">
        <f t="shared" si="8"/>
        <v>0</v>
      </c>
      <c r="G26" s="81">
        <f t="shared" si="8"/>
        <v>0</v>
      </c>
      <c r="H26" s="81">
        <f t="shared" si="8"/>
        <v>0</v>
      </c>
      <c r="I26" s="81">
        <f t="shared" si="8"/>
        <v>0</v>
      </c>
      <c r="J26" s="81">
        <f t="shared" si="8"/>
        <v>0</v>
      </c>
      <c r="K26" s="81">
        <f t="shared" si="8"/>
        <v>182103.125</v>
      </c>
      <c r="L26" s="81">
        <f t="shared" si="8"/>
        <v>1463.6363636363635</v>
      </c>
      <c r="M26" s="81">
        <f t="shared" si="8"/>
        <v>27500</v>
      </c>
      <c r="N26" s="82">
        <f t="shared" si="8"/>
        <v>211066.76136363635</v>
      </c>
      <c r="R26" s="180" t="s">
        <v>138</v>
      </c>
      <c r="S26" s="180">
        <v>1</v>
      </c>
      <c r="T26" s="180" t="s">
        <v>137</v>
      </c>
      <c r="U26" s="184">
        <v>1.41</v>
      </c>
      <c r="Z26" s="27">
        <v>2015</v>
      </c>
      <c r="AA26" s="26">
        <v>39</v>
      </c>
      <c r="AB26">
        <f>AB21/30.5</f>
        <v>4.918032786885246</v>
      </c>
      <c r="AC26">
        <f>AA26*AB26</f>
        <v>191.80327868852459</v>
      </c>
      <c r="AD26">
        <f>AC21/AD21</f>
        <v>63.357142857142861</v>
      </c>
    </row>
    <row r="27" spans="1:33" ht="19.5" thickBot="1" x14ac:dyDescent="0.45">
      <c r="A27" s="40" t="s">
        <v>151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R27" s="180" t="s">
        <v>136</v>
      </c>
      <c r="S27" s="184">
        <v>6.28</v>
      </c>
      <c r="Z27" s="27">
        <v>2016</v>
      </c>
      <c r="AA27" s="26">
        <v>40</v>
      </c>
      <c r="AB27">
        <f t="shared" ref="AB27:AB29" si="9">AB22/30.5</f>
        <v>5.9344262295081966</v>
      </c>
      <c r="AC27">
        <f t="shared" ref="AC27:AC29" si="10">AA27*AB27</f>
        <v>237.37704918032787</v>
      </c>
      <c r="AD27">
        <f t="shared" ref="AD27:AD29" si="11">AC22/AD22</f>
        <v>63.176470588235297</v>
      </c>
    </row>
    <row r="28" spans="1:33" ht="16.5" thickTop="1" thickBot="1" x14ac:dyDescent="0.3">
      <c r="A28" s="59" t="s">
        <v>105</v>
      </c>
      <c r="B28" s="52">
        <f>B14*'Budget Inputs'!$F$12</f>
        <v>10302.511818181818</v>
      </c>
      <c r="C28" s="52">
        <f>C14*'Budget Inputs'!$F$12</f>
        <v>9305.4945454545468</v>
      </c>
      <c r="D28" s="52">
        <f>D14*'Budget Inputs'!$F$12</f>
        <v>10302.511818181818</v>
      </c>
      <c r="E28" s="52">
        <f>E14*'Budget Inputs'!$F$12</f>
        <v>0</v>
      </c>
      <c r="F28" s="52">
        <f>F14*'Budget Inputs'!$F$12</f>
        <v>0</v>
      </c>
      <c r="G28" s="52">
        <f>G14*'Budget Inputs'!$F$12</f>
        <v>0</v>
      </c>
      <c r="H28" s="52">
        <f>H14*'Budget Inputs'!$F$12</f>
        <v>0</v>
      </c>
      <c r="I28" s="52">
        <f>I14*'Budget Inputs'!$F$12</f>
        <v>0</v>
      </c>
      <c r="J28" s="52">
        <f>J14*'Budget Inputs'!$F$12</f>
        <v>0</v>
      </c>
      <c r="K28" s="52">
        <f>K14*'Budget Inputs'!$F$12</f>
        <v>0</v>
      </c>
      <c r="L28" s="52">
        <f>L14*'Budget Inputs'!$F$12</f>
        <v>0</v>
      </c>
      <c r="M28" s="52">
        <f>M14*'Budget Inputs'!$F$12</f>
        <v>10302.511818181818</v>
      </c>
      <c r="N28" s="53">
        <f t="shared" ref="N28:N43" si="12">SUM(B28:M28)</f>
        <v>40213.03</v>
      </c>
      <c r="O28" s="180">
        <f>N28/('Budget Inputs'!$C$2+'Budget Inputs'!$C$4)</f>
        <v>158.20576895565091</v>
      </c>
      <c r="R28" s="180" t="s">
        <v>135</v>
      </c>
      <c r="S28" s="184">
        <v>21.1</v>
      </c>
      <c r="U28" s="185"/>
      <c r="Z28" s="27">
        <v>2017</v>
      </c>
      <c r="AA28" s="26">
        <v>51</v>
      </c>
      <c r="AB28">
        <f t="shared" si="9"/>
        <v>6.0327868852459012</v>
      </c>
      <c r="AC28">
        <f t="shared" si="10"/>
        <v>307.67213114754094</v>
      </c>
      <c r="AD28">
        <f t="shared" si="11"/>
        <v>64.090909090909079</v>
      </c>
    </row>
    <row r="29" spans="1:33" ht="15.75" thickBot="1" x14ac:dyDescent="0.3">
      <c r="A29" s="60" t="s">
        <v>256</v>
      </c>
      <c r="B29" s="52">
        <f>B15*'Budget Inputs'!$F$13</f>
        <v>5923.9442954545457</v>
      </c>
      <c r="C29" s="52">
        <f>C15*'Budget Inputs'!$F$13</f>
        <v>5350.6593636363641</v>
      </c>
      <c r="D29" s="52">
        <f>D15*'Budget Inputs'!$F$13</f>
        <v>5923.9442954545457</v>
      </c>
      <c r="E29" s="52">
        <f>E15*'Budget Inputs'!$F$13</f>
        <v>0</v>
      </c>
      <c r="F29" s="52">
        <f>F15*'Budget Inputs'!$F$13</f>
        <v>0</v>
      </c>
      <c r="G29" s="52">
        <f>G15*'Budget Inputs'!$F$13</f>
        <v>0</v>
      </c>
      <c r="H29" s="52">
        <f>H15*'Budget Inputs'!$F$13</f>
        <v>0</v>
      </c>
      <c r="I29" s="52">
        <f>I15*'Budget Inputs'!$F$13</f>
        <v>0</v>
      </c>
      <c r="J29" s="52">
        <f>J15*'Budget Inputs'!$F$13</f>
        <v>0</v>
      </c>
      <c r="K29" s="52">
        <f>K15*'Budget Inputs'!$F$13</f>
        <v>0</v>
      </c>
      <c r="L29" s="52">
        <f>L15*'Budget Inputs'!$F$13</f>
        <v>0</v>
      </c>
      <c r="M29" s="52">
        <f>M15*'Budget Inputs'!$F$13</f>
        <v>5923.9442954545457</v>
      </c>
      <c r="N29" s="54">
        <f t="shared" si="12"/>
        <v>23122.492249999999</v>
      </c>
      <c r="O29" s="180">
        <f>N29/('Budget Inputs'!$C$2+'Budget Inputs'!$C$4)</f>
        <v>90.968317149499285</v>
      </c>
      <c r="P29" s="185">
        <f>N37/96</f>
        <v>67.649431818181839</v>
      </c>
      <c r="R29" s="180" t="s">
        <v>133</v>
      </c>
      <c r="S29" s="184">
        <v>1.94</v>
      </c>
      <c r="U29" s="185"/>
      <c r="Z29" s="27">
        <v>2018</v>
      </c>
      <c r="AA29" s="26">
        <v>62</v>
      </c>
      <c r="AB29">
        <f t="shared" si="9"/>
        <v>5.5737704918032787</v>
      </c>
      <c r="AC29">
        <f t="shared" si="10"/>
        <v>345.57377049180326</v>
      </c>
      <c r="AD29">
        <f t="shared" si="11"/>
        <v>62.720000000000006</v>
      </c>
    </row>
    <row r="30" spans="1:33" x14ac:dyDescent="0.25">
      <c r="A30" s="60" t="s">
        <v>98</v>
      </c>
      <c r="B30" s="52">
        <f>('Budget Inputs'!$C$2+'Budget Inputs'!$C$4)*'Budget Inputs'!$F$19*'Production Calendar'!B16*'Production Calendar'!B2</f>
        <v>787.96363636363651</v>
      </c>
      <c r="C30" s="52">
        <f>('Budget Inputs'!$C$2+'Budget Inputs'!$C$4)*'Budget Inputs'!$F$19*'Production Calendar'!C16*'Production Calendar'!C2</f>
        <v>711.70909090909095</v>
      </c>
      <c r="D30" s="52">
        <f>('Budget Inputs'!$C$2+'Budget Inputs'!$C$4)*'Budget Inputs'!$F$19*'Production Calendar'!D16*'Production Calendar'!D2</f>
        <v>787.96363636363651</v>
      </c>
      <c r="E30" s="52">
        <f>('Budget Inputs'!$C$2+'Budget Inputs'!$C$4)*'Budget Inputs'!$F$19*'Production Calendar'!E16*'Production Calendar'!E2</f>
        <v>0</v>
      </c>
      <c r="F30" s="52">
        <f>('Budget Inputs'!$C$2+'Budget Inputs'!$C$4)*'Budget Inputs'!$F$19*'Production Calendar'!F16*'Production Calendar'!F2</f>
        <v>0</v>
      </c>
      <c r="G30" s="52">
        <f>('Budget Inputs'!$C$2+'Budget Inputs'!$C$4)*'Budget Inputs'!$F$19*'Production Calendar'!G16*'Production Calendar'!G2</f>
        <v>0</v>
      </c>
      <c r="H30" s="52">
        <f>('Budget Inputs'!$C$2+'Budget Inputs'!$C$4)*'Budget Inputs'!$F$19*'Production Calendar'!H16*'Production Calendar'!H2</f>
        <v>0</v>
      </c>
      <c r="I30" s="52">
        <f>('Budget Inputs'!$C$2+'Budget Inputs'!$C$4)*'Budget Inputs'!$F$19*'Production Calendar'!I16*'Production Calendar'!I2</f>
        <v>0</v>
      </c>
      <c r="J30" s="52">
        <f>('Budget Inputs'!$C$2+'Budget Inputs'!$C$4)*'Budget Inputs'!$F$19*'Production Calendar'!J16*'Production Calendar'!J2</f>
        <v>0</v>
      </c>
      <c r="K30" s="52">
        <f>('Budget Inputs'!$C$2+'Budget Inputs'!$C$4)*'Budget Inputs'!$F$19*'Production Calendar'!K16*'Production Calendar'!K2</f>
        <v>0</v>
      </c>
      <c r="L30" s="52">
        <f>('Budget Inputs'!$C$2+'Budget Inputs'!$C$4)*'Budget Inputs'!$F$19*'Production Calendar'!L16*'Production Calendar'!L2</f>
        <v>0</v>
      </c>
      <c r="M30" s="52">
        <f>('Budget Inputs'!$C$2+'Budget Inputs'!$C$4)*'Budget Inputs'!$F$19*'Production Calendar'!M16*'Production Calendar'!M2</f>
        <v>787.96363636363651</v>
      </c>
      <c r="N30" s="54">
        <f t="shared" si="12"/>
        <v>3075.6000000000004</v>
      </c>
      <c r="O30" s="188">
        <f>N30/('Budget Inputs'!$C$2+'Budget Inputs'!$C$4)</f>
        <v>12.100000000000001</v>
      </c>
      <c r="P30" s="185">
        <f>N39/96</f>
        <v>103.3347685842803</v>
      </c>
      <c r="R30" s="180" t="s">
        <v>131</v>
      </c>
      <c r="S30" s="184">
        <v>62.45</v>
      </c>
      <c r="T30" s="180" t="s">
        <v>130</v>
      </c>
      <c r="U30" s="184">
        <f>S30*(S2+S3)</f>
        <v>16237</v>
      </c>
    </row>
    <row r="31" spans="1:33" x14ac:dyDescent="0.25">
      <c r="A31" s="60" t="s">
        <v>143</v>
      </c>
      <c r="B31" s="52">
        <f>(B4*B9)*'Budget Inputs'!$F$16</f>
        <v>0</v>
      </c>
      <c r="C31" s="52">
        <f>(C4*C9)*'Budget Inputs'!$F$16</f>
        <v>0</v>
      </c>
      <c r="D31" s="52">
        <f>(D4*D9)*'Budget Inputs'!$F$16</f>
        <v>0</v>
      </c>
      <c r="E31" s="52">
        <f>(E4*E9)*'Budget Inputs'!$F$16</f>
        <v>8947.5909090909099</v>
      </c>
      <c r="F31" s="52">
        <f>(F4*F9)*'Budget Inputs'!$F$16</f>
        <v>9245.8439393939407</v>
      </c>
      <c r="G31" s="52">
        <f>(G4*G9)*'Budget Inputs'!$F$16</f>
        <v>0</v>
      </c>
      <c r="H31" s="52">
        <f>(H4*H9)*'Budget Inputs'!$F$16</f>
        <v>0</v>
      </c>
      <c r="I31" s="52">
        <f>(I4*I9)*'Budget Inputs'!$F$16</f>
        <v>0</v>
      </c>
      <c r="J31" s="52">
        <f>(J4*J9)*'Budget Inputs'!$F$16</f>
        <v>0</v>
      </c>
      <c r="K31" s="52">
        <f>(K4*K9)*'Budget Inputs'!$F$16</f>
        <v>0</v>
      </c>
      <c r="L31" s="52">
        <f>(L4*L9)*'Budget Inputs'!$F$16</f>
        <v>8947.5909090909099</v>
      </c>
      <c r="M31" s="52">
        <f>(M4*M9)*'Budget Inputs'!$F$16</f>
        <v>0</v>
      </c>
      <c r="N31" s="54">
        <f t="shared" si="12"/>
        <v>27141.025757575764</v>
      </c>
      <c r="O31" s="180">
        <f>N31/('Budget Inputs'!$C$2+'Budget Inputs'!$C$4)</f>
        <v>106.777998330949</v>
      </c>
      <c r="R31" s="180" t="s">
        <v>129</v>
      </c>
      <c r="S31" s="184">
        <v>9.94</v>
      </c>
      <c r="T31" s="180" t="s">
        <v>128</v>
      </c>
      <c r="U31" s="187">
        <f>S31*(S2+S3)</f>
        <v>2584.4</v>
      </c>
    </row>
    <row r="32" spans="1:33" x14ac:dyDescent="0.25">
      <c r="A32" s="60" t="s">
        <v>28</v>
      </c>
      <c r="B32" s="52">
        <f>(B4*B7)*'Budget Inputs'!$F$14</f>
        <v>0</v>
      </c>
      <c r="C32" s="52">
        <f>(C4*C7)*'Budget Inputs'!$F$14</f>
        <v>0</v>
      </c>
      <c r="D32" s="52">
        <f>(D4*D7)*'Budget Inputs'!$F$14</f>
        <v>0</v>
      </c>
      <c r="E32" s="52">
        <f>(E4*E7)*'Budget Inputs'!$F$14</f>
        <v>0</v>
      </c>
      <c r="F32" s="52">
        <f>(F4*F7)*'Budget Inputs'!$F$14</f>
        <v>0</v>
      </c>
      <c r="G32" s="52">
        <f>(G4*G7)*'Budget Inputs'!$F$14</f>
        <v>345.1213636363637</v>
      </c>
      <c r="H32" s="52">
        <f>(H4*H7)*'Budget Inputs'!$F$14</f>
        <v>356.62540909090916</v>
      </c>
      <c r="I32" s="52">
        <f>(I4*I7)*'Budget Inputs'!$F$14</f>
        <v>356.62540909090916</v>
      </c>
      <c r="J32" s="52">
        <f>(J4*J7)*'Budget Inputs'!$F$14</f>
        <v>345.1213636363637</v>
      </c>
      <c r="K32" s="52">
        <f>(K4*K7)*'Budget Inputs'!$F$14</f>
        <v>356.62540909090916</v>
      </c>
      <c r="L32" s="52">
        <f>(L4*L7)*'Budget Inputs'!$F$14</f>
        <v>0</v>
      </c>
      <c r="M32" s="52">
        <f>(M4*M7)*'Budget Inputs'!$F$14</f>
        <v>0</v>
      </c>
      <c r="N32" s="54">
        <f t="shared" si="12"/>
        <v>1760.1189545454549</v>
      </c>
      <c r="O32" s="180">
        <f>N32/('Budget Inputs'!$C$2+'Budget Inputs'!$C$4)</f>
        <v>6.9246453862660955</v>
      </c>
      <c r="P32" s="185">
        <f>N41/92</f>
        <v>16.304347826086957</v>
      </c>
      <c r="R32" s="185" t="s">
        <v>126</v>
      </c>
      <c r="S32" s="184">
        <v>0.17</v>
      </c>
      <c r="T32" s="185"/>
    </row>
    <row r="33" spans="1:20" x14ac:dyDescent="0.25">
      <c r="A33" s="60" t="s">
        <v>104</v>
      </c>
      <c r="B33" s="52">
        <f>(B4*B8)*'Budget Inputs'!$F$15</f>
        <v>0</v>
      </c>
      <c r="C33" s="52">
        <f>(C4*C8)*'Budget Inputs'!$F$15</f>
        <v>0</v>
      </c>
      <c r="D33" s="52">
        <f>(D4*D8)*'Budget Inputs'!$F$15</f>
        <v>0</v>
      </c>
      <c r="E33" s="52">
        <f>(E4*E8)*'Budget Inputs'!$F$15</f>
        <v>0</v>
      </c>
      <c r="F33" s="52">
        <f>(F4*F8)*'Budget Inputs'!$F$15</f>
        <v>0</v>
      </c>
      <c r="G33" s="52">
        <f>(G4*G8)*'Budget Inputs'!$F$15</f>
        <v>0</v>
      </c>
      <c r="H33" s="52">
        <f>(H4*H8)*'Budget Inputs'!$F$15</f>
        <v>0</v>
      </c>
      <c r="I33" s="52">
        <f>(I4*I8)*'Budget Inputs'!$F$15</f>
        <v>0</v>
      </c>
      <c r="J33" s="52">
        <f>(J4*J8)*'Budget Inputs'!$F$15</f>
        <v>0</v>
      </c>
      <c r="K33" s="52">
        <f>(K4*K8)*'Budget Inputs'!$F$15</f>
        <v>0</v>
      </c>
      <c r="L33" s="52">
        <f>(L4*L8)*'Budget Inputs'!$F$15</f>
        <v>0</v>
      </c>
      <c r="M33" s="52">
        <f>(M4*M8)*'Budget Inputs'!$F$15</f>
        <v>0</v>
      </c>
      <c r="N33" s="54">
        <f t="shared" si="12"/>
        <v>0</v>
      </c>
      <c r="O33" s="180">
        <f>N33/('Budget Inputs'!$C$2+'Budget Inputs'!$C$4)</f>
        <v>0</v>
      </c>
      <c r="R33" s="180" t="s">
        <v>124</v>
      </c>
      <c r="S33" s="189">
        <v>4.7E-2</v>
      </c>
      <c r="T33" s="185"/>
    </row>
    <row r="34" spans="1:20" x14ac:dyDescent="0.25">
      <c r="A34" s="60" t="s">
        <v>66</v>
      </c>
      <c r="B34" s="52">
        <f>('Budget Inputs'!$C$2+'Budget Inputs'!$C$4*'Budget Inputs'!$F$18)*B20</f>
        <v>258.11272727272728</v>
      </c>
      <c r="C34" s="52">
        <f>('Budget Inputs'!$C$2+'Budget Inputs'!$C$4*'Budget Inputs'!$F$18)*C20</f>
        <v>258.11272727272728</v>
      </c>
      <c r="D34" s="52">
        <f>('Budget Inputs'!$C$2+'Budget Inputs'!$C$4*'Budget Inputs'!$F$18)*D20</f>
        <v>258.11272727272728</v>
      </c>
      <c r="E34" s="52">
        <f>('Budget Inputs'!$C$2+'Budget Inputs'!$C$4*'Budget Inputs'!$F$18)*E20</f>
        <v>258.11272727272728</v>
      </c>
      <c r="F34" s="52">
        <f>('Budget Inputs'!$C$2+'Budget Inputs'!$C$4*'Budget Inputs'!$F$18)*F20</f>
        <v>258.11272727272728</v>
      </c>
      <c r="G34" s="52">
        <f>('Budget Inputs'!$C$2+'Budget Inputs'!$C$4*'Budget Inputs'!$F$18)*G20</f>
        <v>258.11272727272728</v>
      </c>
      <c r="H34" s="52">
        <f>('Budget Inputs'!$C$2+'Budget Inputs'!$C$4*'Budget Inputs'!$F$18)*H20</f>
        <v>258.11272727272728</v>
      </c>
      <c r="I34" s="52">
        <f>('Budget Inputs'!$C$2+'Budget Inputs'!$C$4*'Budget Inputs'!$F$18)*I20</f>
        <v>258.11272727272728</v>
      </c>
      <c r="J34" s="52">
        <f>('Budget Inputs'!$C$2+'Budget Inputs'!$C$4*'Budget Inputs'!$F$18)*J20</f>
        <v>258.11272727272728</v>
      </c>
      <c r="K34" s="52">
        <f>('Budget Inputs'!$C$2+'Budget Inputs'!$C$4*'Budget Inputs'!$F$18)*K20</f>
        <v>258.11272727272728</v>
      </c>
      <c r="L34" s="52">
        <f>('Budget Inputs'!$C$2+'Budget Inputs'!$C$4*'Budget Inputs'!$F$18)*L20</f>
        <v>258.11272727272728</v>
      </c>
      <c r="M34" s="52">
        <f>('Budget Inputs'!$C$2+'Budget Inputs'!$C$4*'Budget Inputs'!$F$18)*M20</f>
        <v>258.11272727272728</v>
      </c>
      <c r="N34" s="54">
        <f t="shared" si="12"/>
        <v>3097.3527272727265</v>
      </c>
      <c r="O34" s="180">
        <f>N34/('Budget Inputs'!$C$2+'Budget Inputs'!$C$4)</f>
        <v>12.185579399141627</v>
      </c>
      <c r="R34" s="180" t="s">
        <v>122</v>
      </c>
      <c r="S34" s="185">
        <f>'CowCalf Budget'!H36+'CowCalf Budget'!H35</f>
        <v>4000</v>
      </c>
      <c r="T34" s="185"/>
    </row>
    <row r="35" spans="1:20" x14ac:dyDescent="0.25">
      <c r="A35" s="60" t="s">
        <v>141</v>
      </c>
      <c r="B35" s="52">
        <f>B12*('Budget Inputs'!$C$2+'Budget Inputs'!$C$4)*'Budget Inputs'!$F$20</f>
        <v>1016.7272727272729</v>
      </c>
      <c r="C35" s="52">
        <f>C12*('Budget Inputs'!$C$2+'Budget Inputs'!$C$4)*'Budget Inputs'!$F$20</f>
        <v>0</v>
      </c>
      <c r="D35" s="52">
        <f>D12*('Budget Inputs'!$C$2+'Budget Inputs'!$C$4)*'Budget Inputs'!$F$20</f>
        <v>0</v>
      </c>
      <c r="E35" s="52">
        <f>E12*('Budget Inputs'!$C$2+'Budget Inputs'!$C$4)*'Budget Inputs'!$F$20</f>
        <v>0</v>
      </c>
      <c r="F35" s="52">
        <f>F12*('Budget Inputs'!$C$2+'Budget Inputs'!$C$4)*'Budget Inputs'!$F$20</f>
        <v>1525.090909090909</v>
      </c>
      <c r="G35" s="52">
        <f>G12*('Budget Inputs'!$C$2+'Budget Inputs'!$C$4)*'Budget Inputs'!$F$20</f>
        <v>0</v>
      </c>
      <c r="H35" s="52">
        <f>H12*('Budget Inputs'!$C$2+'Budget Inputs'!$C$4)*'Budget Inputs'!$F$20</f>
        <v>0</v>
      </c>
      <c r="I35" s="52">
        <f>I12*('Budget Inputs'!$C$2+'Budget Inputs'!$C$4)*'Budget Inputs'!$F$20</f>
        <v>0</v>
      </c>
      <c r="J35" s="52">
        <f>J12*('Budget Inputs'!$C$2+'Budget Inputs'!$C$4)*'Budget Inputs'!$F$20</f>
        <v>0</v>
      </c>
      <c r="K35" s="52">
        <f>K12*('Budget Inputs'!$C$2+'Budget Inputs'!$C$4)*'Budget Inputs'!$F$20</f>
        <v>0</v>
      </c>
      <c r="L35" s="52">
        <f>L12*('Budget Inputs'!$C$2+'Budget Inputs'!$C$4)*'Budget Inputs'!$F$20</f>
        <v>0</v>
      </c>
      <c r="M35" s="52">
        <f>M12*('Budget Inputs'!$C$2+'Budget Inputs'!$C$4)*'Budget Inputs'!$F$20</f>
        <v>2541.818181818182</v>
      </c>
      <c r="N35" s="54">
        <f t="shared" si="12"/>
        <v>5083.636363636364</v>
      </c>
      <c r="O35" s="180">
        <f>N35/('Budget Inputs'!$C$2+'Budget Inputs'!$C$4)</f>
        <v>20</v>
      </c>
      <c r="R35" s="180" t="s">
        <v>121</v>
      </c>
      <c r="S35" s="185">
        <f>'CowCalf Budget'!H33+'CowCalf Budget'!H32</f>
        <v>21006.930939288268</v>
      </c>
      <c r="T35" s="185"/>
    </row>
    <row r="36" spans="1:20" ht="15" customHeight="1" x14ac:dyDescent="0.25">
      <c r="A36" s="60" t="s">
        <v>139</v>
      </c>
      <c r="B36" s="52">
        <f>B13*('Budget Inputs'!$C$2+'Budget Inputs'!$C$4)*'Budget Inputs'!$F$22</f>
        <v>0</v>
      </c>
      <c r="C36" s="52">
        <f>C13*('Budget Inputs'!$C$2+'Budget Inputs'!$C$4)*'Budget Inputs'!$F$22</f>
        <v>0</v>
      </c>
      <c r="D36" s="52">
        <f>D13*('Budget Inputs'!$C$2+'Budget Inputs'!$C$4)*'Budget Inputs'!$F$22</f>
        <v>0</v>
      </c>
      <c r="E36" s="52">
        <f>E13*('Budget Inputs'!$C$2+'Budget Inputs'!$C$4)*'Budget Inputs'!$F$22</f>
        <v>0</v>
      </c>
      <c r="F36" s="52">
        <f>F13*('Budget Inputs'!$C$2+'Budget Inputs'!$C$4)*'Budget Inputs'!$F$22</f>
        <v>0</v>
      </c>
      <c r="G36" s="52">
        <f>G13*('Budget Inputs'!$C$2+'Budget Inputs'!$C$4)*'Budget Inputs'!$F$22</f>
        <v>794.31818181818187</v>
      </c>
      <c r="H36" s="52">
        <f>H13*('Budget Inputs'!$C$2+'Budget Inputs'!$C$4)*'Budget Inputs'!$F$22</f>
        <v>0</v>
      </c>
      <c r="I36" s="52">
        <f>I13*('Budget Inputs'!$C$2+'Budget Inputs'!$C$4)*'Budget Inputs'!$F$22</f>
        <v>0</v>
      </c>
      <c r="J36" s="52">
        <f>J13*('Budget Inputs'!$C$2+'Budget Inputs'!$C$4)*'Budget Inputs'!$F$22</f>
        <v>0</v>
      </c>
      <c r="K36" s="52">
        <f>K13*('Budget Inputs'!$C$2+'Budget Inputs'!$C$4)*'Budget Inputs'!$F$22</f>
        <v>1588.6363636363637</v>
      </c>
      <c r="L36" s="52">
        <f>L13*('Budget Inputs'!$C$2+'Budget Inputs'!$C$4)*'Budget Inputs'!$F$22</f>
        <v>0</v>
      </c>
      <c r="M36" s="52">
        <f>M13*('Budget Inputs'!$C$2+'Budget Inputs'!$C$4)*'Budget Inputs'!$F$22</f>
        <v>794.31818181818187</v>
      </c>
      <c r="N36" s="54">
        <f t="shared" si="12"/>
        <v>3177.2727272727275</v>
      </c>
      <c r="O36" s="180">
        <f>N36/('Budget Inputs'!$C$2+'Budget Inputs'!$C$4)</f>
        <v>12.5</v>
      </c>
      <c r="R36" s="180" t="s">
        <v>120</v>
      </c>
      <c r="S36" s="185">
        <f>'CowCalf Budget'!H46</f>
        <v>19625</v>
      </c>
    </row>
    <row r="37" spans="1:20" x14ac:dyDescent="0.25">
      <c r="A37" s="60" t="s">
        <v>18</v>
      </c>
      <c r="B37" s="52">
        <f>('Budget Inputs'!$C$2+'Budget Inputs'!$C$4)*'Budget Inputs'!$F$23*'Production Calendar'!B2</f>
        <v>551.57454545454561</v>
      </c>
      <c r="C37" s="52">
        <f>('Budget Inputs'!$C$2+'Budget Inputs'!$C$4)*'Budget Inputs'!$F$23*'Production Calendar'!C2</f>
        <v>498.19636363636374</v>
      </c>
      <c r="D37" s="52">
        <f>('Budget Inputs'!$C$2+'Budget Inputs'!$C$4)*'Budget Inputs'!$F$23*'Production Calendar'!D2</f>
        <v>551.57454545454561</v>
      </c>
      <c r="E37" s="52">
        <f>('Budget Inputs'!$C$2+'Budget Inputs'!$C$4)*'Budget Inputs'!$F$23*'Production Calendar'!E2</f>
        <v>533.78181818181827</v>
      </c>
      <c r="F37" s="52">
        <f>('Budget Inputs'!$C$2+'Budget Inputs'!$C$4)*'Budget Inputs'!$F$23*'Production Calendar'!F2</f>
        <v>551.57454545454561</v>
      </c>
      <c r="G37" s="52">
        <f>('Budget Inputs'!$C$2+'Budget Inputs'!$C$4)*'Budget Inputs'!$F$23*'Production Calendar'!G2</f>
        <v>533.78181818181827</v>
      </c>
      <c r="H37" s="52">
        <f>('Budget Inputs'!$C$2+'Budget Inputs'!$C$4)*'Budget Inputs'!$F$23*'Production Calendar'!H2</f>
        <v>551.57454545454561</v>
      </c>
      <c r="I37" s="52">
        <f>('Budget Inputs'!$C$2+'Budget Inputs'!$C$4)*'Budget Inputs'!$F$23*'Production Calendar'!I2</f>
        <v>551.57454545454561</v>
      </c>
      <c r="J37" s="52">
        <f>('Budget Inputs'!$C$2+'Budget Inputs'!$C$4)*'Budget Inputs'!$F$23*'Production Calendar'!J2</f>
        <v>533.78181818181827</v>
      </c>
      <c r="K37" s="52">
        <f>('Budget Inputs'!$C$2+'Budget Inputs'!$C$4)*'Budget Inputs'!$F$23*'Production Calendar'!K2</f>
        <v>551.57454545454561</v>
      </c>
      <c r="L37" s="52">
        <f>('Budget Inputs'!$C$2+'Budget Inputs'!$C$4)*'Budget Inputs'!$F$23*'Production Calendar'!L2</f>
        <v>533.78181818181827</v>
      </c>
      <c r="M37" s="52">
        <f>('Budget Inputs'!$C$2+'Budget Inputs'!$C$4)*'Budget Inputs'!$F$23*'Production Calendar'!M2</f>
        <v>551.57454545454561</v>
      </c>
      <c r="N37" s="54">
        <f t="shared" si="12"/>
        <v>6494.345454545457</v>
      </c>
      <c r="O37" s="180">
        <f>N37/('Budget Inputs'!$C$2+'Budget Inputs'!$C$4)</f>
        <v>25.550000000000008</v>
      </c>
      <c r="R37" s="180" t="s">
        <v>119</v>
      </c>
      <c r="S37" s="185">
        <f>SUM(N28:N36)*0.05</f>
        <v>5333.5264390151524</v>
      </c>
    </row>
    <row r="38" spans="1:20" x14ac:dyDescent="0.25">
      <c r="A38" s="60" t="s">
        <v>17</v>
      </c>
      <c r="B38" s="52">
        <f>(('Budget Inputs'!$C$2+'Budget Inputs'!$C$4)*'Budget Inputs'!$F$24)/12</f>
        <v>677.81818181818187</v>
      </c>
      <c r="C38" s="52">
        <f>(('Budget Inputs'!$C$2+'Budget Inputs'!$C$4)*'Budget Inputs'!$F$24)/12</f>
        <v>677.81818181818187</v>
      </c>
      <c r="D38" s="52">
        <f>(('Budget Inputs'!$C$2+'Budget Inputs'!$C$4)*'Budget Inputs'!$F$24)/12</f>
        <v>677.81818181818187</v>
      </c>
      <c r="E38" s="52">
        <f>(('Budget Inputs'!$C$2+'Budget Inputs'!$C$4)*'Budget Inputs'!$F$24)/12</f>
        <v>677.81818181818187</v>
      </c>
      <c r="F38" s="52">
        <f>(('Budget Inputs'!$C$2+'Budget Inputs'!$C$4)*'Budget Inputs'!$F$24)/12</f>
        <v>677.81818181818187</v>
      </c>
      <c r="G38" s="52">
        <f>(('Budget Inputs'!$C$2+'Budget Inputs'!$C$4)*'Budget Inputs'!$F$24)/12</f>
        <v>677.81818181818187</v>
      </c>
      <c r="H38" s="52">
        <f>(('Budget Inputs'!$C$2+'Budget Inputs'!$C$4)*'Budget Inputs'!$F$24)/12</f>
        <v>677.81818181818187</v>
      </c>
      <c r="I38" s="52">
        <f>(('Budget Inputs'!$C$2+'Budget Inputs'!$C$4)*'Budget Inputs'!$F$24)/12</f>
        <v>677.81818181818187</v>
      </c>
      <c r="J38" s="52">
        <f>(('Budget Inputs'!$C$2+'Budget Inputs'!$C$4)*'Budget Inputs'!$F$24)/12</f>
        <v>677.81818181818187</v>
      </c>
      <c r="K38" s="52">
        <f>(('Budget Inputs'!$C$2+'Budget Inputs'!$C$4)*'Budget Inputs'!$F$24)/12</f>
        <v>677.81818181818187</v>
      </c>
      <c r="L38" s="52">
        <f>(('Budget Inputs'!$C$2+'Budget Inputs'!$C$4)*'Budget Inputs'!$F$24)/12</f>
        <v>677.81818181818187</v>
      </c>
      <c r="M38" s="52">
        <f>(('Budget Inputs'!$C$2+'Budget Inputs'!$C$4)*'Budget Inputs'!$F$24)/12</f>
        <v>677.81818181818187</v>
      </c>
      <c r="N38" s="54">
        <f t="shared" si="12"/>
        <v>8133.8181818181829</v>
      </c>
      <c r="O38" s="180">
        <f>N39/('Budget Inputs'!$C$2+'Budget Inputs'!$C$4)</f>
        <v>39.027723757153069</v>
      </c>
    </row>
    <row r="39" spans="1:20" x14ac:dyDescent="0.25">
      <c r="A39" s="60" t="s">
        <v>74</v>
      </c>
      <c r="B39" s="52">
        <f>B26*'Budget Inputs'!$F$25</f>
        <v>0</v>
      </c>
      <c r="C39" s="52">
        <f>C26*'Budget Inputs'!$F$25</f>
        <v>0</v>
      </c>
      <c r="D39" s="52">
        <f>D26*'Budget Inputs'!$F$25</f>
        <v>0</v>
      </c>
      <c r="E39" s="52">
        <f>E26*'Budget Inputs'!$F$25</f>
        <v>0</v>
      </c>
      <c r="F39" s="52">
        <f>F26*'Budget Inputs'!$F$25</f>
        <v>0</v>
      </c>
      <c r="G39" s="52">
        <f>G26*'Budget Inputs'!$F$25</f>
        <v>0</v>
      </c>
      <c r="H39" s="52">
        <f>H26*'Budget Inputs'!$F$25</f>
        <v>0</v>
      </c>
      <c r="I39" s="52">
        <f>I26*'Budget Inputs'!$F$25</f>
        <v>0</v>
      </c>
      <c r="J39" s="52">
        <f>J26*'Budget Inputs'!$F$25</f>
        <v>0</v>
      </c>
      <c r="K39" s="52">
        <f>K26*'Budget Inputs'!$F$25</f>
        <v>8558.8468749999993</v>
      </c>
      <c r="L39" s="52">
        <f>L26*'Budget Inputs'!$F$25</f>
        <v>68.790909090909082</v>
      </c>
      <c r="M39" s="52">
        <f>M26*'Budget Inputs'!$F$25</f>
        <v>1292.5</v>
      </c>
      <c r="N39" s="54">
        <f t="shared" si="12"/>
        <v>9920.1377840909081</v>
      </c>
      <c r="O39" s="180">
        <f>N40/('Budget Inputs'!$C$2+'Budget Inputs'!$C$4)</f>
        <v>9.8354792560801148</v>
      </c>
    </row>
    <row r="40" spans="1:20" x14ac:dyDescent="0.25">
      <c r="A40" s="60" t="s">
        <v>134</v>
      </c>
      <c r="B40" s="52">
        <f>'Budget Inputs'!$F$26/12</f>
        <v>208.33333333333334</v>
      </c>
      <c r="C40" s="52">
        <f>'Budget Inputs'!$F$26/12</f>
        <v>208.33333333333334</v>
      </c>
      <c r="D40" s="52">
        <f>'Budget Inputs'!$F$26/12</f>
        <v>208.33333333333334</v>
      </c>
      <c r="E40" s="52">
        <f>'Budget Inputs'!$F$26/12</f>
        <v>208.33333333333334</v>
      </c>
      <c r="F40" s="52">
        <f>'Budget Inputs'!$F$26/12</f>
        <v>208.33333333333334</v>
      </c>
      <c r="G40" s="52">
        <f>'Budget Inputs'!$F$26/12</f>
        <v>208.33333333333334</v>
      </c>
      <c r="H40" s="52">
        <f>'Budget Inputs'!$F$26/12</f>
        <v>208.33333333333334</v>
      </c>
      <c r="I40" s="52">
        <f>'Budget Inputs'!$F$26/12</f>
        <v>208.33333333333334</v>
      </c>
      <c r="J40" s="52">
        <f>'Budget Inputs'!$F$26/12</f>
        <v>208.33333333333334</v>
      </c>
      <c r="K40" s="52">
        <f>'Budget Inputs'!$F$26/12</f>
        <v>208.33333333333334</v>
      </c>
      <c r="L40" s="52">
        <f>'Budget Inputs'!$F$26/12</f>
        <v>208.33333333333334</v>
      </c>
      <c r="M40" s="52">
        <f>'Budget Inputs'!$F$26/12</f>
        <v>208.33333333333334</v>
      </c>
      <c r="N40" s="54">
        <f t="shared" si="12"/>
        <v>2500</v>
      </c>
      <c r="O40" s="180">
        <f>N41/('Budget Inputs'!$C$2+'Budget Inputs'!$C$4)</f>
        <v>5.9012875536480687</v>
      </c>
    </row>
    <row r="41" spans="1:20" x14ac:dyDescent="0.25">
      <c r="A41" s="60" t="s">
        <v>132</v>
      </c>
      <c r="B41" s="52">
        <f>'Budget Inputs'!$F$28/12</f>
        <v>125</v>
      </c>
      <c r="C41" s="52">
        <f>'Budget Inputs'!$F$28/12</f>
        <v>125</v>
      </c>
      <c r="D41" s="52">
        <f>'Budget Inputs'!$F$28/12</f>
        <v>125</v>
      </c>
      <c r="E41" s="52">
        <f>'Budget Inputs'!$F$28/12</f>
        <v>125</v>
      </c>
      <c r="F41" s="52">
        <f>'Budget Inputs'!$F$28/12</f>
        <v>125</v>
      </c>
      <c r="G41" s="52">
        <f>'Budget Inputs'!$F$28/12</f>
        <v>125</v>
      </c>
      <c r="H41" s="52">
        <f>'Budget Inputs'!$F$28/12</f>
        <v>125</v>
      </c>
      <c r="I41" s="52">
        <f>'Budget Inputs'!$F$28/12</f>
        <v>125</v>
      </c>
      <c r="J41" s="52">
        <f>'Budget Inputs'!$F$28/12</f>
        <v>125</v>
      </c>
      <c r="K41" s="52">
        <f>'Budget Inputs'!$F$28/12</f>
        <v>125</v>
      </c>
      <c r="L41" s="52">
        <f>'Budget Inputs'!$F$28/12</f>
        <v>125</v>
      </c>
      <c r="M41" s="52">
        <f>'Budget Inputs'!$F$28/12</f>
        <v>125</v>
      </c>
      <c r="N41" s="54">
        <f t="shared" si="12"/>
        <v>1500</v>
      </c>
      <c r="O41" s="180">
        <f>N42/('Budget Inputs'!$C$2+'Budget Inputs'!$C$4)</f>
        <v>45</v>
      </c>
    </row>
    <row r="42" spans="1:20" x14ac:dyDescent="0.25">
      <c r="A42" s="60" t="s">
        <v>244</v>
      </c>
      <c r="B42" s="52">
        <f>'Budget Inputs'!$F$27*('Budget Inputs'!$C$2+'Budget Inputs'!$C$4)/12</f>
        <v>953.18181818181813</v>
      </c>
      <c r="C42" s="52">
        <f>'Budget Inputs'!$F$27*('Budget Inputs'!$C$2+'Budget Inputs'!$C$4)/12</f>
        <v>953.18181818181813</v>
      </c>
      <c r="D42" s="52">
        <f>'Budget Inputs'!$F$27*('Budget Inputs'!$C$2+'Budget Inputs'!$C$4)/12</f>
        <v>953.18181818181813</v>
      </c>
      <c r="E42" s="52">
        <f>'Budget Inputs'!$F$27*('Budget Inputs'!$C$2+'Budget Inputs'!$C$4)/12</f>
        <v>953.18181818181813</v>
      </c>
      <c r="F42" s="52">
        <f>'Budget Inputs'!$F$27*('Budget Inputs'!$C$2+'Budget Inputs'!$C$4)/12</f>
        <v>953.18181818181813</v>
      </c>
      <c r="G42" s="52">
        <f>'Budget Inputs'!$F$27*('Budget Inputs'!$C$2+'Budget Inputs'!$C$4)/12</f>
        <v>953.18181818181813</v>
      </c>
      <c r="H42" s="52">
        <f>'Budget Inputs'!$F$27*('Budget Inputs'!$C$2+'Budget Inputs'!$C$4)/12</f>
        <v>953.18181818181813</v>
      </c>
      <c r="I42" s="52">
        <f>'Budget Inputs'!$F$27*('Budget Inputs'!$C$2+'Budget Inputs'!$C$4)/12</f>
        <v>953.18181818181813</v>
      </c>
      <c r="J42" s="52">
        <f>'Budget Inputs'!$F$27*('Budget Inputs'!$C$2+'Budget Inputs'!$C$4)/12</f>
        <v>953.18181818181813</v>
      </c>
      <c r="K42" s="52">
        <f>'Budget Inputs'!$F$27*('Budget Inputs'!$C$2+'Budget Inputs'!$C$4)/12</f>
        <v>953.18181818181813</v>
      </c>
      <c r="L42" s="52">
        <f>'Budget Inputs'!$F$27*('Budget Inputs'!$C$2+'Budget Inputs'!$C$4)/12</f>
        <v>953.18181818181813</v>
      </c>
      <c r="M42" s="52">
        <f>'Budget Inputs'!$F$27*('Budget Inputs'!$C$2+'Budget Inputs'!$C$4)/12</f>
        <v>953.18181818181813</v>
      </c>
      <c r="N42" s="54">
        <f t="shared" si="12"/>
        <v>11438.181818181818</v>
      </c>
      <c r="O42" s="180">
        <f>N43/('Budget Inputs'!$C$2+'Budget Inputs'!$C$4)</f>
        <v>37.503491986245237</v>
      </c>
    </row>
    <row r="43" spans="1:20" ht="15.75" thickBot="1" x14ac:dyDescent="0.3">
      <c r="A43" s="61" t="s">
        <v>127</v>
      </c>
      <c r="B43" s="55">
        <f>(SUM($N$28:$N$42)/12)*'Budget Inputs'!$F$29</f>
        <v>794.39214843592174</v>
      </c>
      <c r="C43" s="55">
        <f>(SUM($N$28:$N$42)/12)*'Budget Inputs'!$F$29</f>
        <v>794.39214843592174</v>
      </c>
      <c r="D43" s="55">
        <f>(SUM($N$28:$N$42)/12)*'Budget Inputs'!$F$29</f>
        <v>794.39214843592174</v>
      </c>
      <c r="E43" s="55">
        <f>(SUM($N$28:$N$42)/12)*'Budget Inputs'!$F$29</f>
        <v>794.39214843592174</v>
      </c>
      <c r="F43" s="55">
        <f>(SUM($N$28:$N$42)/12)*'Budget Inputs'!$F$29</f>
        <v>794.39214843592174</v>
      </c>
      <c r="G43" s="55">
        <f>(SUM($N$28:$N$42)/12)*'Budget Inputs'!$F$29</f>
        <v>794.39214843592174</v>
      </c>
      <c r="H43" s="55">
        <f>(SUM($N$28:$N$42)/12)*'Budget Inputs'!$F$29</f>
        <v>794.39214843592174</v>
      </c>
      <c r="I43" s="55">
        <f>(SUM($N$28:$N$42)/12)*'Budget Inputs'!$F$29</f>
        <v>794.39214843592174</v>
      </c>
      <c r="J43" s="55">
        <f>(SUM($N$28:$N$42)/12)*'Budget Inputs'!$F$29</f>
        <v>794.39214843592174</v>
      </c>
      <c r="K43" s="55">
        <f>(SUM($N$28:$N$42)/12)*'Budget Inputs'!$F$29</f>
        <v>794.39214843592174</v>
      </c>
      <c r="L43" s="55">
        <f>(SUM($N$28:$N$42)/12)*'Budget Inputs'!$F$29</f>
        <v>794.39214843592174</v>
      </c>
      <c r="M43" s="55">
        <f>(SUM($N$28:$N$42)/12)*'Budget Inputs'!$F$29</f>
        <v>794.39214843592174</v>
      </c>
      <c r="N43" s="56">
        <f t="shared" si="12"/>
        <v>9532.7057812310613</v>
      </c>
      <c r="O43" s="190">
        <f>SUM(C54:N54)</f>
        <v>0</v>
      </c>
    </row>
    <row r="44" spans="1:20" ht="16.5" thickTop="1" thickBot="1" x14ac:dyDescent="0.3">
      <c r="A44" s="62" t="s">
        <v>125</v>
      </c>
      <c r="B44" s="57">
        <f t="shared" ref="B44:N44" si="13">SUM(B28:B43)</f>
        <v>21599.559777223803</v>
      </c>
      <c r="C44" s="57">
        <f t="shared" si="13"/>
        <v>18882.89757267835</v>
      </c>
      <c r="D44" s="57">
        <f t="shared" si="13"/>
        <v>20582.832504496531</v>
      </c>
      <c r="E44" s="57">
        <f t="shared" si="13"/>
        <v>12498.210936314712</v>
      </c>
      <c r="F44" s="57">
        <f t="shared" si="13"/>
        <v>14339.347602981377</v>
      </c>
      <c r="G44" s="57">
        <f t="shared" si="13"/>
        <v>4690.0595726783467</v>
      </c>
      <c r="H44" s="57">
        <f t="shared" si="13"/>
        <v>3925.0381635874369</v>
      </c>
      <c r="I44" s="57">
        <f t="shared" si="13"/>
        <v>3925.0381635874369</v>
      </c>
      <c r="J44" s="57">
        <f t="shared" si="13"/>
        <v>3895.7413908601638</v>
      </c>
      <c r="K44" s="57">
        <f t="shared" si="13"/>
        <v>14072.521402223801</v>
      </c>
      <c r="L44" s="57">
        <f t="shared" si="13"/>
        <v>12567.001845405621</v>
      </c>
      <c r="M44" s="57">
        <f t="shared" si="13"/>
        <v>25211.468868132892</v>
      </c>
      <c r="N44" s="58">
        <f t="shared" si="13"/>
        <v>156189.71780017045</v>
      </c>
      <c r="O44" s="191">
        <f>SUM(C55:N55)</f>
        <v>0</v>
      </c>
    </row>
    <row r="45" spans="1:20" ht="20.25" thickBot="1" x14ac:dyDescent="0.45">
      <c r="A45" s="83" t="s">
        <v>123</v>
      </c>
      <c r="B45" s="84">
        <f t="shared" ref="B45:N45" si="14">B26-B44</f>
        <v>-21599.559777223803</v>
      </c>
      <c r="C45" s="84">
        <f t="shared" si="14"/>
        <v>-18882.89757267835</v>
      </c>
      <c r="D45" s="84">
        <f t="shared" si="14"/>
        <v>-20582.832504496531</v>
      </c>
      <c r="E45" s="84">
        <f t="shared" si="14"/>
        <v>-12498.210936314712</v>
      </c>
      <c r="F45" s="84">
        <f t="shared" si="14"/>
        <v>-14339.347602981377</v>
      </c>
      <c r="G45" s="84">
        <f t="shared" si="14"/>
        <v>-4690.0595726783467</v>
      </c>
      <c r="H45" s="84">
        <f t="shared" si="14"/>
        <v>-3925.0381635874369</v>
      </c>
      <c r="I45" s="84">
        <f t="shared" si="14"/>
        <v>-3925.0381635874369</v>
      </c>
      <c r="J45" s="84">
        <f t="shared" si="14"/>
        <v>-3895.7413908601638</v>
      </c>
      <c r="K45" s="84">
        <f t="shared" si="14"/>
        <v>168030.60359777621</v>
      </c>
      <c r="L45" s="84">
        <f t="shared" si="14"/>
        <v>-11103.365481769257</v>
      </c>
      <c r="M45" s="84">
        <f t="shared" si="14"/>
        <v>2288.5311318671083</v>
      </c>
      <c r="N45" s="84">
        <f t="shared" si="14"/>
        <v>54877.043563465908</v>
      </c>
      <c r="O45" s="191">
        <f>SUM(C56:N56)</f>
        <v>0</v>
      </c>
    </row>
    <row r="46" spans="1:20" ht="15.75" thickTop="1" x14ac:dyDescent="0.25">
      <c r="O46" s="191">
        <f>SUM(C57:N57)</f>
        <v>0</v>
      </c>
    </row>
    <row r="47" spans="1:20" x14ac:dyDescent="0.25">
      <c r="B47" s="17"/>
      <c r="O47" s="190">
        <f>SUM(C58:N58)</f>
        <v>0</v>
      </c>
    </row>
    <row r="50" spans="1:14" ht="18.75" x14ac:dyDescent="0.3">
      <c r="A50" s="22"/>
      <c r="B50" s="21"/>
    </row>
    <row r="51" spans="1:14" x14ac:dyDescent="0.25">
      <c r="A51" s="20"/>
    </row>
    <row r="52" spans="1:14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x14ac:dyDescent="0.2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x14ac:dyDescent="0.2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60" spans="1:14" x14ac:dyDescent="0.25">
      <c r="C60" s="17"/>
    </row>
    <row r="62" spans="1:14" x14ac:dyDescent="0.25">
      <c r="D62" s="17"/>
    </row>
    <row r="63" spans="1:14" x14ac:dyDescent="0.25">
      <c r="C63" s="17"/>
      <c r="D63" s="17"/>
      <c r="E63" s="17"/>
    </row>
    <row r="64" spans="1:14" x14ac:dyDescent="0.25">
      <c r="A64" s="245" t="s">
        <v>103</v>
      </c>
      <c r="B64" s="246" t="s">
        <v>102</v>
      </c>
      <c r="C64" s="246"/>
      <c r="D64" s="246"/>
    </row>
    <row r="65" spans="1:4" x14ac:dyDescent="0.25">
      <c r="A65" s="245"/>
      <c r="B65" t="s">
        <v>101</v>
      </c>
      <c r="C65" t="s">
        <v>100</v>
      </c>
      <c r="D65" t="s">
        <v>99</v>
      </c>
    </row>
    <row r="66" spans="1:4" x14ac:dyDescent="0.25">
      <c r="A66" t="s">
        <v>31</v>
      </c>
      <c r="B66" s="16">
        <f>($T$18*2000)/($S$2+$S$3)</f>
        <v>10.420673076923077</v>
      </c>
      <c r="D66">
        <f>N5</f>
        <v>120</v>
      </c>
    </row>
    <row r="67" spans="1:4" x14ac:dyDescent="0.25">
      <c r="A67" t="s">
        <v>30</v>
      </c>
      <c r="B67" s="16">
        <f>(T19*2000)/(S2+S3)</f>
        <v>22.92548076923077</v>
      </c>
      <c r="D67">
        <f>N5</f>
        <v>120</v>
      </c>
    </row>
    <row r="68" spans="1:4" x14ac:dyDescent="0.25">
      <c r="A68" t="s">
        <v>98</v>
      </c>
      <c r="B68" s="16">
        <f>((C54*100)/31)/(S2+S3)</f>
        <v>0</v>
      </c>
      <c r="D68">
        <f>N6</f>
        <v>92</v>
      </c>
    </row>
    <row r="69" spans="1:4" x14ac:dyDescent="0.25">
      <c r="A69" t="s">
        <v>97</v>
      </c>
      <c r="C69">
        <v>1</v>
      </c>
      <c r="D69">
        <f>SUM((B9*B2),(C9*C2),(D9*D2),(E9*E2),(F9*F2),(G9*G2),(H9*H2),(I9*I2),(J9*J2),(K9*K2),(L9*L2),(M9*M2))</f>
        <v>91</v>
      </c>
    </row>
    <row r="70" spans="1:4" x14ac:dyDescent="0.25">
      <c r="A70" t="s">
        <v>96</v>
      </c>
      <c r="C70">
        <f>S26</f>
        <v>1</v>
      </c>
      <c r="D70">
        <f>SUM((B7*B2),(C7*C2),(D7*D2),(E7*E2),(F7*F2),(G7*G2),(H7*H2),(I7*I2),(J7*J2),(K7*K2),(L7*L2),(M7*M2))</f>
        <v>153</v>
      </c>
    </row>
  </sheetData>
  <mergeCells count="8">
    <mergeCell ref="AE18:AE20"/>
    <mergeCell ref="AF18:AF20"/>
    <mergeCell ref="AG18:AG20"/>
    <mergeCell ref="A64:A65"/>
    <mergeCell ref="B64:D64"/>
    <mergeCell ref="Z18:Z20"/>
    <mergeCell ref="AB18:AB20"/>
    <mergeCell ref="AC18:AC20"/>
  </mergeCells>
  <conditionalFormatting sqref="B26:N26">
    <cfRule type="cellIs" dxfId="6" priority="6" operator="lessThan">
      <formula>1</formula>
    </cfRule>
    <cfRule type="cellIs" dxfId="5" priority="7" operator="greaterThan">
      <formula>0</formula>
    </cfRule>
  </conditionalFormatting>
  <conditionalFormatting sqref="B45:M45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N45">
    <cfRule type="cellIs" dxfId="2" priority="1" operator="lessThan">
      <formula>0</formula>
    </cfRule>
    <cfRule type="cellIs" dxfId="1" priority="2" operator="lessThan">
      <formula>-19475.97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FF00"/>
  </sheetPr>
  <dimension ref="B1:T29"/>
  <sheetViews>
    <sheetView workbookViewId="0">
      <selection activeCell="C10" sqref="C10"/>
    </sheetView>
  </sheetViews>
  <sheetFormatPr defaultRowHeight="15" x14ac:dyDescent="0.25"/>
  <cols>
    <col min="2" max="2" width="31.7109375" bestFit="1" customWidth="1"/>
    <col min="3" max="3" width="15.5703125" customWidth="1"/>
    <col min="4" max="4" width="2.28515625" customWidth="1"/>
    <col min="5" max="5" width="43.7109375" bestFit="1" customWidth="1"/>
    <col min="6" max="6" width="18.5703125" bestFit="1" customWidth="1"/>
    <col min="7" max="7" width="8.7109375" customWidth="1"/>
    <col min="8" max="8" width="22.28515625" customWidth="1"/>
    <col min="9" max="20" width="13.7109375" customWidth="1"/>
  </cols>
  <sheetData>
    <row r="1" spans="2:20" ht="28.5" x14ac:dyDescent="0.45">
      <c r="B1" s="247" t="s">
        <v>93</v>
      </c>
      <c r="C1" s="247"/>
      <c r="E1" s="247" t="s">
        <v>212</v>
      </c>
      <c r="F1" s="247"/>
      <c r="I1" s="249" t="s">
        <v>222</v>
      </c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</row>
    <row r="2" spans="2:20" ht="21" x14ac:dyDescent="0.35">
      <c r="B2" s="31" t="s">
        <v>48</v>
      </c>
      <c r="C2" s="31">
        <v>250</v>
      </c>
      <c r="E2" s="31" t="s">
        <v>156</v>
      </c>
      <c r="F2" s="34">
        <v>26</v>
      </c>
      <c r="H2" s="31"/>
      <c r="I2" s="36" t="s">
        <v>223</v>
      </c>
      <c r="J2" s="36" t="s">
        <v>224</v>
      </c>
      <c r="K2" s="36" t="s">
        <v>225</v>
      </c>
      <c r="L2" s="36" t="s">
        <v>226</v>
      </c>
      <c r="M2" s="36" t="s">
        <v>114</v>
      </c>
      <c r="N2" s="36" t="s">
        <v>227</v>
      </c>
      <c r="O2" s="36" t="s">
        <v>228</v>
      </c>
      <c r="P2" s="36" t="s">
        <v>229</v>
      </c>
      <c r="Q2" s="36" t="s">
        <v>230</v>
      </c>
      <c r="R2" s="36" t="s">
        <v>231</v>
      </c>
      <c r="S2" s="36" t="s">
        <v>232</v>
      </c>
      <c r="T2" s="36" t="s">
        <v>233</v>
      </c>
    </row>
    <row r="3" spans="2:20" ht="21" x14ac:dyDescent="0.35">
      <c r="B3" s="31" t="s">
        <v>73</v>
      </c>
      <c r="C3" s="31">
        <v>22</v>
      </c>
      <c r="E3" s="31" t="s">
        <v>153</v>
      </c>
      <c r="F3" s="34">
        <f>F2*1.35</f>
        <v>35.1</v>
      </c>
      <c r="H3" s="37" t="s">
        <v>97</v>
      </c>
      <c r="I3" s="31">
        <v>0</v>
      </c>
      <c r="J3" s="31">
        <v>0</v>
      </c>
      <c r="K3" s="31">
        <v>0</v>
      </c>
      <c r="L3" s="31">
        <v>1</v>
      </c>
      <c r="M3" s="31">
        <v>1</v>
      </c>
      <c r="N3" s="31">
        <v>0</v>
      </c>
      <c r="O3" s="31">
        <v>0</v>
      </c>
      <c r="P3" s="31">
        <v>0</v>
      </c>
      <c r="Q3" s="31">
        <v>0</v>
      </c>
      <c r="R3" s="31">
        <v>0</v>
      </c>
      <c r="S3" s="31">
        <v>1</v>
      </c>
      <c r="T3" s="31">
        <v>0</v>
      </c>
    </row>
    <row r="4" spans="2:20" ht="21" x14ac:dyDescent="0.35">
      <c r="B4" s="31" t="s">
        <v>189</v>
      </c>
      <c r="C4" s="34">
        <v>4.1818181818181817</v>
      </c>
      <c r="E4" s="31" t="s">
        <v>213</v>
      </c>
      <c r="F4" s="34">
        <f>(C2*F2)+(C4*F3)</f>
        <v>6646.7818181818184</v>
      </c>
      <c r="H4" s="37" t="s">
        <v>104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</row>
    <row r="5" spans="2:20" ht="21" x14ac:dyDescent="0.35">
      <c r="B5" s="31" t="s">
        <v>186</v>
      </c>
      <c r="C5" s="32">
        <v>0.89</v>
      </c>
      <c r="E5" s="31" t="s">
        <v>214</v>
      </c>
      <c r="F5" s="33">
        <f>F4/2000</f>
        <v>3.3233909090909091</v>
      </c>
      <c r="H5" s="37" t="s">
        <v>28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1</v>
      </c>
      <c r="O5" s="31">
        <v>1</v>
      </c>
      <c r="P5" s="31">
        <v>1</v>
      </c>
      <c r="Q5" s="31">
        <v>1</v>
      </c>
      <c r="R5" s="31">
        <v>1</v>
      </c>
      <c r="S5" s="31">
        <v>0</v>
      </c>
      <c r="T5" s="31">
        <v>0</v>
      </c>
    </row>
    <row r="6" spans="2:20" ht="26.25" x14ac:dyDescent="0.4">
      <c r="B6" s="31" t="s">
        <v>221</v>
      </c>
      <c r="C6" s="34">
        <f>C2*C5</f>
        <v>222.5</v>
      </c>
      <c r="E6" s="248" t="s">
        <v>216</v>
      </c>
      <c r="F6" s="248"/>
      <c r="H6" s="37" t="s">
        <v>258</v>
      </c>
      <c r="I6" s="31">
        <v>1</v>
      </c>
      <c r="J6" s="31">
        <v>1</v>
      </c>
      <c r="K6" s="31">
        <v>1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1</v>
      </c>
    </row>
    <row r="7" spans="2:20" ht="21" x14ac:dyDescent="0.35">
      <c r="B7" s="31" t="s">
        <v>184</v>
      </c>
      <c r="C7" s="32">
        <v>0.5</v>
      </c>
      <c r="E7" s="31" t="s">
        <v>217</v>
      </c>
      <c r="F7" s="35">
        <v>1</v>
      </c>
      <c r="H7" s="37"/>
      <c r="I7" s="31">
        <f t="shared" ref="I7:T7" si="0">SUM(I3:I6)</f>
        <v>1</v>
      </c>
      <c r="J7" s="31">
        <f t="shared" si="0"/>
        <v>1</v>
      </c>
      <c r="K7" s="31">
        <f t="shared" si="0"/>
        <v>1</v>
      </c>
      <c r="L7" s="31">
        <f t="shared" si="0"/>
        <v>1</v>
      </c>
      <c r="M7" s="31">
        <f t="shared" si="0"/>
        <v>1</v>
      </c>
      <c r="N7" s="31">
        <f t="shared" si="0"/>
        <v>1</v>
      </c>
      <c r="O7" s="31">
        <f t="shared" si="0"/>
        <v>1</v>
      </c>
      <c r="P7" s="31">
        <f t="shared" si="0"/>
        <v>1</v>
      </c>
      <c r="Q7" s="31">
        <f t="shared" si="0"/>
        <v>1</v>
      </c>
      <c r="R7" s="31">
        <f t="shared" si="0"/>
        <v>1</v>
      </c>
      <c r="S7" s="31">
        <f t="shared" si="0"/>
        <v>1</v>
      </c>
      <c r="T7" s="31">
        <f t="shared" si="0"/>
        <v>1</v>
      </c>
    </row>
    <row r="8" spans="2:20" ht="21" x14ac:dyDescent="0.35">
      <c r="B8" s="31" t="s">
        <v>182</v>
      </c>
      <c r="C8" s="32">
        <v>0.5</v>
      </c>
      <c r="E8" s="31" t="s">
        <v>218</v>
      </c>
      <c r="F8" s="35">
        <v>1</v>
      </c>
      <c r="H8" s="38" t="s">
        <v>191</v>
      </c>
      <c r="I8" s="36">
        <v>31</v>
      </c>
      <c r="J8" s="36">
        <v>28</v>
      </c>
      <c r="K8" s="36">
        <v>31</v>
      </c>
      <c r="L8" s="36">
        <v>30</v>
      </c>
      <c r="M8" s="36">
        <v>31</v>
      </c>
      <c r="N8" s="36">
        <v>30</v>
      </c>
      <c r="O8" s="36">
        <v>31</v>
      </c>
      <c r="P8" s="36">
        <v>31</v>
      </c>
      <c r="Q8" s="36">
        <v>30</v>
      </c>
      <c r="R8" s="36">
        <v>31</v>
      </c>
      <c r="S8" s="36">
        <v>30</v>
      </c>
      <c r="T8" s="36">
        <v>31</v>
      </c>
    </row>
    <row r="9" spans="2:20" ht="21" x14ac:dyDescent="0.35">
      <c r="B9" s="31" t="s">
        <v>180</v>
      </c>
      <c r="C9" s="32">
        <v>0.1</v>
      </c>
      <c r="E9" s="31" t="s">
        <v>219</v>
      </c>
      <c r="F9" s="35">
        <v>1.85</v>
      </c>
    </row>
    <row r="10" spans="2:20" ht="21" x14ac:dyDescent="0.35">
      <c r="B10" s="31" t="s">
        <v>206</v>
      </c>
      <c r="C10" s="34">
        <f>'Budget Inputs'!C2*'Budget Inputs'!C9+(C2*C13)</f>
        <v>32.5</v>
      </c>
      <c r="E10" s="31" t="s">
        <v>220</v>
      </c>
      <c r="F10" s="35">
        <v>1.75</v>
      </c>
    </row>
    <row r="11" spans="2:20" ht="26.25" x14ac:dyDescent="0.4">
      <c r="B11" s="31" t="s">
        <v>79</v>
      </c>
      <c r="C11" s="32">
        <v>0.25</v>
      </c>
      <c r="E11" s="248" t="s">
        <v>215</v>
      </c>
      <c r="F11" s="248"/>
    </row>
    <row r="12" spans="2:20" ht="21" x14ac:dyDescent="0.35">
      <c r="B12" s="31" t="s">
        <v>207</v>
      </c>
      <c r="C12" s="34">
        <f>C4*C11</f>
        <v>1.0454545454545454</v>
      </c>
      <c r="E12" s="31" t="s">
        <v>31</v>
      </c>
      <c r="F12" s="35">
        <v>200</v>
      </c>
    </row>
    <row r="13" spans="2:20" ht="21" x14ac:dyDescent="0.35">
      <c r="B13" s="31" t="s">
        <v>177</v>
      </c>
      <c r="C13" s="32">
        <v>0.03</v>
      </c>
      <c r="E13" s="31" t="s">
        <v>256</v>
      </c>
      <c r="F13" s="35">
        <v>115</v>
      </c>
    </row>
    <row r="14" spans="2:20" ht="21" x14ac:dyDescent="0.35">
      <c r="B14" s="31" t="s">
        <v>172</v>
      </c>
      <c r="C14" s="34">
        <f>C2*C9</f>
        <v>25</v>
      </c>
      <c r="E14" s="31" t="s">
        <v>243</v>
      </c>
      <c r="F14" s="35">
        <v>1.35</v>
      </c>
    </row>
    <row r="15" spans="2:20" ht="21" x14ac:dyDescent="0.35">
      <c r="B15" s="31" t="s">
        <v>208</v>
      </c>
      <c r="C15" s="34">
        <v>1100</v>
      </c>
      <c r="E15" s="31" t="s">
        <v>136</v>
      </c>
      <c r="F15" s="35">
        <v>6.28</v>
      </c>
    </row>
    <row r="16" spans="2:20" ht="21" x14ac:dyDescent="0.35">
      <c r="B16" s="31" t="s">
        <v>168</v>
      </c>
      <c r="C16" s="34">
        <f>C4*C11</f>
        <v>1.0454545454545454</v>
      </c>
      <c r="E16" s="31" t="s">
        <v>135</v>
      </c>
      <c r="F16" s="35">
        <v>35</v>
      </c>
    </row>
    <row r="17" spans="2:6" ht="21" x14ac:dyDescent="0.35">
      <c r="B17" s="31" t="s">
        <v>209</v>
      </c>
      <c r="C17" s="34">
        <v>1400</v>
      </c>
      <c r="E17" s="31" t="s">
        <v>259</v>
      </c>
      <c r="F17" s="35">
        <v>10</v>
      </c>
    </row>
    <row r="18" spans="2:6" ht="21" x14ac:dyDescent="0.35">
      <c r="B18" s="31" t="s">
        <v>164</v>
      </c>
      <c r="C18" s="34">
        <f>C2*C5*C7</f>
        <v>111.25</v>
      </c>
      <c r="E18" s="31" t="s">
        <v>133</v>
      </c>
      <c r="F18" s="35">
        <v>1.94</v>
      </c>
    </row>
    <row r="19" spans="2:6" ht="21" x14ac:dyDescent="0.35">
      <c r="B19" s="31" t="s">
        <v>210</v>
      </c>
      <c r="C19" s="34">
        <v>550</v>
      </c>
      <c r="E19" s="31" t="s">
        <v>241</v>
      </c>
      <c r="F19" s="35">
        <v>0.1</v>
      </c>
    </row>
    <row r="20" spans="2:6" ht="21" x14ac:dyDescent="0.35">
      <c r="B20" s="31" t="s">
        <v>160</v>
      </c>
      <c r="C20" s="34">
        <f>C2*C5*C8-C10</f>
        <v>78.75</v>
      </c>
      <c r="E20" s="31" t="s">
        <v>131</v>
      </c>
      <c r="F20" s="35">
        <v>20</v>
      </c>
    </row>
    <row r="21" spans="2:6" ht="21" x14ac:dyDescent="0.35">
      <c r="B21" s="31" t="s">
        <v>211</v>
      </c>
      <c r="C21" s="34">
        <v>500</v>
      </c>
      <c r="E21" s="31" t="s">
        <v>246</v>
      </c>
      <c r="F21" s="35">
        <v>5.84</v>
      </c>
    </row>
    <row r="22" spans="2:6" ht="21" x14ac:dyDescent="0.35">
      <c r="E22" s="31" t="s">
        <v>129</v>
      </c>
      <c r="F22" s="35">
        <v>12.5</v>
      </c>
    </row>
    <row r="23" spans="2:6" ht="21" x14ac:dyDescent="0.35">
      <c r="E23" s="31" t="s">
        <v>126</v>
      </c>
      <c r="F23" s="35">
        <v>7.0000000000000007E-2</v>
      </c>
    </row>
    <row r="24" spans="2:6" ht="21" x14ac:dyDescent="0.35">
      <c r="E24" s="31" t="s">
        <v>17</v>
      </c>
      <c r="F24" s="35">
        <v>32</v>
      </c>
    </row>
    <row r="25" spans="2:6" ht="21" x14ac:dyDescent="0.35">
      <c r="E25" s="31" t="s">
        <v>124</v>
      </c>
      <c r="F25" s="35">
        <v>4.7E-2</v>
      </c>
    </row>
    <row r="26" spans="2:6" ht="21" x14ac:dyDescent="0.35">
      <c r="E26" s="31" t="s">
        <v>122</v>
      </c>
      <c r="F26" s="35">
        <v>2500</v>
      </c>
    </row>
    <row r="27" spans="2:6" ht="21" x14ac:dyDescent="0.35">
      <c r="E27" s="31" t="s">
        <v>244</v>
      </c>
      <c r="F27" s="35">
        <v>45</v>
      </c>
    </row>
    <row r="28" spans="2:6" ht="21" x14ac:dyDescent="0.35">
      <c r="E28" s="31" t="s">
        <v>121</v>
      </c>
      <c r="F28" s="35">
        <v>1500</v>
      </c>
    </row>
    <row r="29" spans="2:6" ht="21" x14ac:dyDescent="0.35">
      <c r="E29" s="90" t="s">
        <v>245</v>
      </c>
      <c r="F29" s="91">
        <v>6.5000000000000002E-2</v>
      </c>
    </row>
  </sheetData>
  <mergeCells count="5">
    <mergeCell ref="B1:C1"/>
    <mergeCell ref="E1:F1"/>
    <mergeCell ref="E11:F11"/>
    <mergeCell ref="E6:F6"/>
    <mergeCell ref="I1:T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Northern UT Information</vt:lpstr>
      <vt:lpstr>rsklibSimData</vt:lpstr>
      <vt:lpstr>CowCalf Budget</vt:lpstr>
      <vt:lpstr>Dashboard Data</vt:lpstr>
      <vt:lpstr>Dashboard</vt:lpstr>
      <vt:lpstr>Production Calendar</vt:lpstr>
      <vt:lpstr>Budget Inputs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wyatt feuz</dc:creator>
  <cp:lastModifiedBy>Ryan Larsen</cp:lastModifiedBy>
  <cp:lastPrinted>2021-07-27T20:17:00Z</cp:lastPrinted>
  <dcterms:created xsi:type="dcterms:W3CDTF">2019-05-26T02:30:11Z</dcterms:created>
  <dcterms:modified xsi:type="dcterms:W3CDTF">2022-03-30T14:40:20Z</dcterms:modified>
</cp:coreProperties>
</file>